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Korisnik\Documents\Projekti\Biciklisti\idejni projekt-CIRO\REVIZIJA 01\2.CIRO_GLAVNI PROJEKT\2.4.CIRO_GP_TROSKOVNIK\"/>
    </mc:Choice>
  </mc:AlternateContent>
  <xr:revisionPtr revIDLastSave="0" documentId="13_ncr:1_{22BEB293-B19F-4A1E-BC17-47928B46AC9B}" xr6:coauthVersionLast="47" xr6:coauthVersionMax="47" xr10:uidLastSave="{00000000-0000-0000-0000-000000000000}"/>
  <bookViews>
    <workbookView xWindow="28680" yWindow="-120" windowWidth="29040" windowHeight="15840" firstSheet="1" activeTab="1" xr2:uid="{00000000-000D-0000-FFFF-FFFF00000000}"/>
  </bookViews>
  <sheets>
    <sheet name="napomene" sheetId="24" r:id="rId1"/>
    <sheet name="BICIKLISTIČKA STAZA" sheetId="20" r:id="rId2"/>
    <sheet name="PIKNIK PARK" sheetId="18" r:id="rId3"/>
    <sheet name="TERETANA" sheetId="23" r:id="rId4"/>
    <sheet name="Rekapitulacija" sheetId="9" r:id="rId5"/>
  </sheets>
  <definedNames>
    <definedName name="_xlnm.Print_Area" localSheetId="1">'BICIKLISTIČKA STAZA'!$A$1:$G$414</definedName>
    <definedName name="_xlnm.Print_Area" localSheetId="0">napomene!$A$1:$E$28</definedName>
    <definedName name="_xlnm.Print_Area" localSheetId="2">'PIKNIK PARK'!$A$1:$G$177</definedName>
    <definedName name="_xlnm.Print_Area" localSheetId="4">Rekapitulacija!$A$1:$G$12</definedName>
    <definedName name="_xlnm.Print_Area" localSheetId="3">TERETANA!$A$1:$G$187</definedName>
    <definedName name="_xlnm.Print_Titles" localSheetId="1">'BICIKLISTIČKA STAZA'!$1:$4</definedName>
    <definedName name="_xlnm.Print_Titles" localSheetId="0">napomene!#REF!</definedName>
    <definedName name="_xlnm.Print_Titles" localSheetId="2">'PIKNIK PARK'!$1:$4</definedName>
    <definedName name="_xlnm.Print_Titles" localSheetId="3">TERETANA!$1:$4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3" i="23" l="1"/>
  <c r="G103" i="23"/>
  <c r="G112" i="23"/>
  <c r="G120" i="23"/>
  <c r="G140" i="23"/>
  <c r="G148" i="23"/>
  <c r="G164" i="23"/>
  <c r="G173" i="23"/>
  <c r="G56" i="18"/>
  <c r="G98" i="18"/>
  <c r="G106" i="18"/>
  <c r="G154" i="18"/>
  <c r="A144" i="18"/>
  <c r="G165" i="18"/>
  <c r="G37" i="20"/>
  <c r="G78" i="20"/>
  <c r="G98" i="20"/>
  <c r="G146" i="20"/>
  <c r="G178" i="20"/>
  <c r="G214" i="20"/>
  <c r="G162" i="18"/>
  <c r="A110" i="18"/>
  <c r="E74" i="18"/>
  <c r="E62" i="18"/>
  <c r="E87" i="18" s="1"/>
  <c r="E39" i="18"/>
  <c r="E43" i="18"/>
  <c r="E44" i="18"/>
  <c r="E50" i="18"/>
  <c r="E25" i="18"/>
  <c r="E11" i="18"/>
  <c r="G171" i="23"/>
  <c r="G170" i="23"/>
  <c r="E47" i="23"/>
  <c r="G47" i="23" s="1"/>
  <c r="E140" i="20"/>
  <c r="G140" i="20"/>
  <c r="E136" i="20"/>
  <c r="G136" i="20" s="1"/>
  <c r="A134" i="20"/>
  <c r="A138" i="20" s="1"/>
  <c r="B354" i="20"/>
  <c r="B358" i="20" s="1"/>
  <c r="B362" i="20" s="1"/>
  <c r="B366" i="20" s="1"/>
  <c r="B370" i="20" s="1"/>
  <c r="B374" i="20" s="1"/>
  <c r="B378" i="20" s="1"/>
  <c r="B382" i="20" s="1"/>
  <c r="B386" i="20" s="1"/>
  <c r="B390" i="20" s="1"/>
  <c r="B86" i="20"/>
  <c r="B90" i="20" s="1"/>
  <c r="A66" i="20"/>
  <c r="B69" i="23"/>
  <c r="B81" i="23" s="1"/>
  <c r="B87" i="23" s="1"/>
  <c r="B91" i="23" s="1"/>
  <c r="G110" i="23"/>
  <c r="E380" i="20"/>
  <c r="G380" i="20" s="1"/>
  <c r="E356" i="20"/>
  <c r="G356" i="20" s="1"/>
  <c r="E324" i="20"/>
  <c r="G324" i="20" s="1"/>
  <c r="B326" i="20"/>
  <c r="B330" i="20" s="1"/>
  <c r="B334" i="20" s="1"/>
  <c r="B338" i="20" s="1"/>
  <c r="E256" i="20"/>
  <c r="G256" i="20" s="1"/>
  <c r="B258" i="20"/>
  <c r="E220" i="20"/>
  <c r="G220" i="20" s="1"/>
  <c r="B222" i="20"/>
  <c r="E184" i="20"/>
  <c r="G184" i="20" s="1"/>
  <c r="B186" i="20"/>
  <c r="A182" i="20"/>
  <c r="E152" i="20"/>
  <c r="G152" i="20" s="1"/>
  <c r="B154" i="20"/>
  <c r="A150" i="20"/>
  <c r="C174" i="18"/>
  <c r="G163" i="18"/>
  <c r="G161" i="18"/>
  <c r="G160" i="18"/>
  <c r="G146" i="18"/>
  <c r="G141" i="18"/>
  <c r="G151" i="18"/>
  <c r="E76" i="18"/>
  <c r="E64" i="18"/>
  <c r="E27" i="18"/>
  <c r="E28" i="18"/>
  <c r="E14" i="18"/>
  <c r="E13" i="18"/>
  <c r="E75" i="18"/>
  <c r="E63" i="18"/>
  <c r="E88" i="18" s="1"/>
  <c r="E26" i="18"/>
  <c r="B23" i="18"/>
  <c r="B37" i="18" s="1"/>
  <c r="B41" i="18" s="1"/>
  <c r="B47" i="18" s="1"/>
  <c r="B52" i="18" s="1"/>
  <c r="A23" i="18"/>
  <c r="A37" i="18" s="1"/>
  <c r="A41" i="18" s="1"/>
  <c r="A47" i="18" s="1"/>
  <c r="A52" i="18" s="1"/>
  <c r="E12" i="18"/>
  <c r="E10" i="18"/>
  <c r="E16" i="18"/>
  <c r="E30" i="18"/>
  <c r="E78" i="18"/>
  <c r="E66" i="18"/>
  <c r="E91" i="18" s="1"/>
  <c r="E168" i="20"/>
  <c r="G168" i="20" s="1"/>
  <c r="E164" i="20"/>
  <c r="G164" i="20" s="1"/>
  <c r="E204" i="20"/>
  <c r="G204" i="20" s="1"/>
  <c r="E200" i="20"/>
  <c r="G200" i="20" s="1"/>
  <c r="A198" i="20"/>
  <c r="E240" i="20"/>
  <c r="G240" i="20" s="1"/>
  <c r="E236" i="20"/>
  <c r="G236" i="20" s="1"/>
  <c r="E276" i="20"/>
  <c r="G276" i="20" s="1"/>
  <c r="E272" i="20"/>
  <c r="G272" i="20" s="1"/>
  <c r="E336" i="20"/>
  <c r="G336" i="20" s="1"/>
  <c r="E332" i="20"/>
  <c r="G332" i="20" s="1"/>
  <c r="E388" i="20"/>
  <c r="G388" i="20" s="1"/>
  <c r="E384" i="20"/>
  <c r="G384" i="20" s="1"/>
  <c r="E364" i="20"/>
  <c r="G364" i="20" s="1"/>
  <c r="E360" i="20"/>
  <c r="G360" i="20" s="1"/>
  <c r="E368" i="20"/>
  <c r="G368" i="20" s="1"/>
  <c r="E288" i="20"/>
  <c r="G288" i="20" s="1"/>
  <c r="E284" i="20"/>
  <c r="G284" i="20" s="1"/>
  <c r="E280" i="20"/>
  <c r="E292" i="20" s="1"/>
  <c r="G292" i="20" s="1"/>
  <c r="E268" i="20"/>
  <c r="E35" i="20"/>
  <c r="G35" i="20" s="1"/>
  <c r="E31" i="20"/>
  <c r="G31" i="20" s="1"/>
  <c r="E19" i="20"/>
  <c r="G19" i="20" s="1"/>
  <c r="E27" i="20"/>
  <c r="E23" i="20"/>
  <c r="E15" i="20"/>
  <c r="E11" i="20"/>
  <c r="B13" i="20"/>
  <c r="B17" i="20" s="1"/>
  <c r="B21" i="20" s="1"/>
  <c r="B25" i="20" s="1"/>
  <c r="B29" i="20" s="1"/>
  <c r="B33" i="20" s="1"/>
  <c r="E392" i="20"/>
  <c r="G392" i="20" s="1"/>
  <c r="E340" i="20"/>
  <c r="E344" i="20" s="1"/>
  <c r="G344" i="20" s="1"/>
  <c r="E244" i="20"/>
  <c r="E248" i="20" s="1"/>
  <c r="G248" i="20" s="1"/>
  <c r="E208" i="20"/>
  <c r="E212" i="20" s="1"/>
  <c r="G212" i="20" s="1"/>
  <c r="E172" i="20"/>
  <c r="E176" i="20" s="1"/>
  <c r="G176" i="20" s="1"/>
  <c r="E132" i="20"/>
  <c r="E144" i="20"/>
  <c r="G144" i="20" s="1"/>
  <c r="E120" i="20"/>
  <c r="G120" i="20" s="1"/>
  <c r="E124" i="20"/>
  <c r="G124" i="20" s="1"/>
  <c r="E116" i="20"/>
  <c r="G116" i="20" s="1"/>
  <c r="E112" i="20"/>
  <c r="E108" i="20"/>
  <c r="G174" i="18" l="1"/>
  <c r="G184" i="23"/>
  <c r="E89" i="18"/>
  <c r="E372" i="20"/>
  <c r="G372" i="20" s="1"/>
  <c r="E396" i="20"/>
  <c r="G396" i="20" s="1"/>
  <c r="E50" i="20"/>
  <c r="B44" i="20"/>
  <c r="G43" i="20"/>
  <c r="E46" i="20"/>
  <c r="E19" i="18"/>
  <c r="E33" i="18"/>
  <c r="E69" i="18"/>
  <c r="E81" i="18"/>
  <c r="B134" i="18"/>
  <c r="B139" i="18" s="1"/>
  <c r="B144" i="18" s="1"/>
  <c r="B149" i="18" s="1"/>
  <c r="G136" i="18"/>
  <c r="E28" i="23"/>
  <c r="E82" i="18"/>
  <c r="E80" i="18"/>
  <c r="E79" i="18"/>
  <c r="E77" i="18"/>
  <c r="B73" i="18"/>
  <c r="B85" i="18" s="1"/>
  <c r="E90" i="18"/>
  <c r="E70" i="18"/>
  <c r="E68" i="18"/>
  <c r="E67" i="18"/>
  <c r="E65" i="18"/>
  <c r="E34" i="18"/>
  <c r="E32" i="18"/>
  <c r="E31" i="18"/>
  <c r="E29" i="18"/>
  <c r="E17" i="18"/>
  <c r="E20" i="18"/>
  <c r="E18" i="18"/>
  <c r="E15" i="18"/>
  <c r="E19" i="23"/>
  <c r="E94" i="23"/>
  <c r="E16" i="23"/>
  <c r="E30" i="23"/>
  <c r="E60" i="23"/>
  <c r="E72" i="23"/>
  <c r="E11" i="23"/>
  <c r="E99" i="23"/>
  <c r="E78" i="23"/>
  <c r="E77" i="23"/>
  <c r="E66" i="23"/>
  <c r="E65" i="23"/>
  <c r="E36" i="23"/>
  <c r="E35" i="23"/>
  <c r="E22" i="23"/>
  <c r="E21" i="23"/>
  <c r="E20" i="23"/>
  <c r="E34" i="23"/>
  <c r="E64" i="23"/>
  <c r="E76" i="23"/>
  <c r="E98" i="23"/>
  <c r="E33" i="23"/>
  <c r="E63" i="23"/>
  <c r="E75" i="23"/>
  <c r="E97" i="23"/>
  <c r="E18" i="23"/>
  <c r="E32" i="23"/>
  <c r="E62" i="23"/>
  <c r="E74" i="23"/>
  <c r="E73" i="23"/>
  <c r="E61" i="23"/>
  <c r="E31" i="23"/>
  <c r="E17" i="23"/>
  <c r="E101" i="23"/>
  <c r="G101" i="23" s="1"/>
  <c r="E89" i="23"/>
  <c r="G89" i="23" s="1"/>
  <c r="E71" i="23"/>
  <c r="E59" i="23"/>
  <c r="E29" i="23"/>
  <c r="E15" i="23"/>
  <c r="E23" i="23"/>
  <c r="E37" i="23"/>
  <c r="E83" i="23"/>
  <c r="E84" i="23"/>
  <c r="G134" i="23"/>
  <c r="B128" i="23"/>
  <c r="B132" i="23" s="1"/>
  <c r="B136" i="23" s="1"/>
  <c r="G130" i="23"/>
  <c r="B342" i="20"/>
  <c r="G340" i="20"/>
  <c r="G316" i="20"/>
  <c r="G312" i="20"/>
  <c r="G308" i="20"/>
  <c r="G304" i="20"/>
  <c r="G300" i="20"/>
  <c r="G328" i="20"/>
  <c r="B394" i="20"/>
  <c r="G376" i="20"/>
  <c r="G352" i="20"/>
  <c r="G398" i="20" s="1"/>
  <c r="G112" i="18"/>
  <c r="B114" i="18"/>
  <c r="G192" i="20"/>
  <c r="B190" i="20"/>
  <c r="B194" i="20" s="1"/>
  <c r="A194" i="20"/>
  <c r="G196" i="20"/>
  <c r="E228" i="20"/>
  <c r="G228" i="20" s="1"/>
  <c r="B226" i="20"/>
  <c r="B230" i="20" s="1"/>
  <c r="C172" i="18"/>
  <c r="A120" i="18"/>
  <c r="G116" i="18"/>
  <c r="A114" i="18"/>
  <c r="G296" i="20"/>
  <c r="G280" i="20"/>
  <c r="G268" i="20"/>
  <c r="G232" i="20"/>
  <c r="G250" i="20" s="1"/>
  <c r="G408" i="20" s="1"/>
  <c r="G58" i="20"/>
  <c r="G138" i="23"/>
  <c r="G126" i="23"/>
  <c r="G118" i="23"/>
  <c r="E43" i="23"/>
  <c r="E264" i="20"/>
  <c r="G264" i="20" s="1"/>
  <c r="B262" i="20"/>
  <c r="E260" i="20"/>
  <c r="G260" i="20" s="1"/>
  <c r="G318" i="20" s="1"/>
  <c r="G409" i="20" s="1"/>
  <c r="G244" i="20"/>
  <c r="G224" i="20"/>
  <c r="G208" i="20"/>
  <c r="G188" i="20"/>
  <c r="G172" i="20"/>
  <c r="G160" i="20"/>
  <c r="G156" i="20"/>
  <c r="A206" i="20"/>
  <c r="B158" i="20"/>
  <c r="G346" i="20" l="1"/>
  <c r="G410" i="20" s="1"/>
  <c r="G406" i="20"/>
  <c r="A210" i="20"/>
  <c r="A202" i="20"/>
  <c r="G407" i="20"/>
  <c r="E71" i="18"/>
  <c r="A122" i="18"/>
  <c r="A156" i="18"/>
  <c r="B174" i="18" s="1"/>
  <c r="E83" i="18"/>
  <c r="G83" i="18" s="1"/>
  <c r="E98" i="18"/>
  <c r="B162" i="20"/>
  <c r="B198" i="20"/>
  <c r="B202" i="20" s="1"/>
  <c r="B206" i="20" s="1"/>
  <c r="B210" i="20" s="1"/>
  <c r="B234" i="20"/>
  <c r="B266" i="20"/>
  <c r="A134" i="18"/>
  <c r="E67" i="23"/>
  <c r="E79" i="23"/>
  <c r="G79" i="23" s="1"/>
  <c r="E35" i="18"/>
  <c r="E103" i="23"/>
  <c r="E85" i="23"/>
  <c r="G118" i="18"/>
  <c r="B238" i="20" l="1"/>
  <c r="B242" i="20" s="1"/>
  <c r="B246" i="20" s="1"/>
  <c r="B166" i="20"/>
  <c r="B170" i="20" s="1"/>
  <c r="B174" i="20" s="1"/>
  <c r="A149" i="18"/>
  <c r="A139" i="18"/>
  <c r="A158" i="18"/>
  <c r="B270" i="20"/>
  <c r="G39" i="18"/>
  <c r="G132" i="20"/>
  <c r="G128" i="20"/>
  <c r="G112" i="20"/>
  <c r="G108" i="20"/>
  <c r="G104" i="20"/>
  <c r="G96" i="20"/>
  <c r="G92" i="20"/>
  <c r="G61" i="20"/>
  <c r="G54" i="20"/>
  <c r="G50" i="20"/>
  <c r="G46" i="20"/>
  <c r="G27" i="20"/>
  <c r="G23" i="20"/>
  <c r="G15" i="20"/>
  <c r="A8" i="23"/>
  <c r="B13" i="23"/>
  <c r="B26" i="23" s="1"/>
  <c r="B41" i="23" s="1"/>
  <c r="B45" i="23" s="1"/>
  <c r="B49" i="23" s="1"/>
  <c r="G43" i="23"/>
  <c r="G85" i="23"/>
  <c r="E112" i="23"/>
  <c r="G179" i="23"/>
  <c r="G180" i="23"/>
  <c r="B144" i="23"/>
  <c r="G146" i="23"/>
  <c r="G182" i="23" s="1"/>
  <c r="B152" i="23"/>
  <c r="G154" i="23"/>
  <c r="G155" i="23"/>
  <c r="G156" i="23"/>
  <c r="G157" i="23"/>
  <c r="G158" i="23"/>
  <c r="G159" i="23"/>
  <c r="G160" i="23"/>
  <c r="G161" i="23"/>
  <c r="G162" i="23"/>
  <c r="B178" i="23"/>
  <c r="B179" i="23" s="1"/>
  <c r="B180" i="23" s="1"/>
  <c r="B181" i="23" s="1"/>
  <c r="B182" i="23" s="1"/>
  <c r="B183" i="23" s="1"/>
  <c r="B184" i="23" s="1"/>
  <c r="C177" i="23"/>
  <c r="C178" i="23"/>
  <c r="C179" i="23"/>
  <c r="C180" i="23"/>
  <c r="C181" i="23"/>
  <c r="C183" i="23"/>
  <c r="B274" i="20" l="1"/>
  <c r="B278" i="20" s="1"/>
  <c r="B282" i="20" s="1"/>
  <c r="B286" i="20" s="1"/>
  <c r="B290" i="20" s="1"/>
  <c r="B294" i="20" s="1"/>
  <c r="B298" i="20" s="1"/>
  <c r="B302" i="20" s="1"/>
  <c r="B306" i="20" s="1"/>
  <c r="B310" i="20" s="1"/>
  <c r="B314" i="20" s="1"/>
  <c r="G405" i="20"/>
  <c r="G11" i="23"/>
  <c r="E45" i="18"/>
  <c r="G181" i="23"/>
  <c r="E39" i="23"/>
  <c r="G183" i="23"/>
  <c r="A55" i="23"/>
  <c r="A69" i="23" s="1"/>
  <c r="E24" i="23"/>
  <c r="G39" i="23"/>
  <c r="A26" i="23"/>
  <c r="A41" i="23" s="1"/>
  <c r="A13" i="23"/>
  <c r="G67" i="23"/>
  <c r="A49" i="23" l="1"/>
  <c r="A45" i="23"/>
  <c r="G178" i="23"/>
  <c r="E51" i="23"/>
  <c r="G51" i="23" s="1"/>
  <c r="G24" i="23"/>
  <c r="A105" i="23"/>
  <c r="A91" i="23"/>
  <c r="A57" i="23"/>
  <c r="A81" i="23"/>
  <c r="A87" i="23" s="1"/>
  <c r="E53" i="23" l="1"/>
  <c r="G177" i="23"/>
  <c r="A114" i="23"/>
  <c r="A107" i="23"/>
  <c r="G186" i="23" l="1"/>
  <c r="G9" i="9" s="1"/>
  <c r="A122" i="23"/>
  <c r="A116" i="23"/>
  <c r="A128" i="23" l="1"/>
  <c r="A132" i="23"/>
  <c r="A124" i="23"/>
  <c r="A136" i="23" s="1"/>
  <c r="A142" i="23"/>
  <c r="C409" i="20"/>
  <c r="C408" i="20"/>
  <c r="C407" i="20"/>
  <c r="C406" i="20"/>
  <c r="C405" i="20"/>
  <c r="C404" i="20"/>
  <c r="C403" i="20"/>
  <c r="C402" i="20"/>
  <c r="A216" i="20"/>
  <c r="A186" i="20"/>
  <c r="A190" i="20" s="1"/>
  <c r="A154" i="20"/>
  <c r="B106" i="20"/>
  <c r="B110" i="20" s="1"/>
  <c r="B94" i="20"/>
  <c r="E84" i="20"/>
  <c r="E76" i="20"/>
  <c r="G76" i="20" s="1"/>
  <c r="E72" i="20"/>
  <c r="G72" i="20" s="1"/>
  <c r="E64" i="20"/>
  <c r="B48" i="20"/>
  <c r="B52" i="20" s="1"/>
  <c r="G11" i="20"/>
  <c r="G402" i="20" s="1"/>
  <c r="B403" i="20"/>
  <c r="B404" i="20" s="1"/>
  <c r="B405" i="20" s="1"/>
  <c r="B406" i="20" s="1"/>
  <c r="B407" i="20" s="1"/>
  <c r="B408" i="20" s="1"/>
  <c r="B409" i="20" s="1"/>
  <c r="B410" i="20" s="1"/>
  <c r="B411" i="20" s="1"/>
  <c r="A82" i="20"/>
  <c r="A39" i="20"/>
  <c r="C171" i="18"/>
  <c r="G171" i="18"/>
  <c r="E106" i="18"/>
  <c r="A158" i="20" l="1"/>
  <c r="A162" i="20" s="1"/>
  <c r="A166" i="20"/>
  <c r="A90" i="20"/>
  <c r="A94" i="20" s="1"/>
  <c r="A86" i="20"/>
  <c r="A234" i="20"/>
  <c r="A238" i="20" s="1"/>
  <c r="A218" i="20"/>
  <c r="G84" i="20"/>
  <c r="E88" i="20"/>
  <c r="G88" i="20" s="1"/>
  <c r="G64" i="20"/>
  <c r="E68" i="20"/>
  <c r="G68" i="20" s="1"/>
  <c r="B114" i="20"/>
  <c r="B56" i="20"/>
  <c r="B59" i="20" s="1"/>
  <c r="B62" i="20" s="1"/>
  <c r="A144" i="23"/>
  <c r="A150" i="23"/>
  <c r="A242" i="20"/>
  <c r="A246" i="20" s="1"/>
  <c r="A230" i="20"/>
  <c r="A222" i="20"/>
  <c r="A226" i="20" s="1"/>
  <c r="A252" i="20"/>
  <c r="A254" i="20" s="1"/>
  <c r="A58" i="18"/>
  <c r="A152" i="23" l="1"/>
  <c r="A166" i="23"/>
  <c r="A168" i="23" s="1"/>
  <c r="A170" i="20"/>
  <c r="A174" i="20" s="1"/>
  <c r="B66" i="20"/>
  <c r="B70" i="20" s="1"/>
  <c r="B74" i="20" s="1"/>
  <c r="G403" i="20"/>
  <c r="G404" i="20"/>
  <c r="A320" i="20"/>
  <c r="A286" i="20"/>
  <c r="A270" i="20"/>
  <c r="B118" i="20"/>
  <c r="B122" i="20" s="1"/>
  <c r="B126" i="20" s="1"/>
  <c r="B130" i="20" s="1"/>
  <c r="B134" i="20" s="1"/>
  <c r="A60" i="18"/>
  <c r="A73" i="18"/>
  <c r="A85" i="18" s="1"/>
  <c r="G35" i="18"/>
  <c r="A258" i="20"/>
  <c r="A262" i="20" s="1"/>
  <c r="A266" i="20"/>
  <c r="A290" i="20" s="1"/>
  <c r="A278" i="20"/>
  <c r="G45" i="18"/>
  <c r="A294" i="20"/>
  <c r="A298" i="20" s="1"/>
  <c r="A302" i="20" s="1"/>
  <c r="A306" i="20" s="1"/>
  <c r="A310" i="20" s="1"/>
  <c r="A314" i="20" s="1"/>
  <c r="E21" i="18"/>
  <c r="E54" i="18" s="1"/>
  <c r="B138" i="20" l="1"/>
  <c r="B142" i="20" s="1"/>
  <c r="A274" i="20"/>
  <c r="A282" i="20"/>
  <c r="A338" i="20"/>
  <c r="A342" i="20" s="1"/>
  <c r="A322" i="20"/>
  <c r="A326" i="20"/>
  <c r="A348" i="20"/>
  <c r="A350" i="20" s="1"/>
  <c r="A330" i="20"/>
  <c r="A334" i="20" s="1"/>
  <c r="E56" i="18"/>
  <c r="G21" i="18"/>
  <c r="B170" i="18"/>
  <c r="B171" i="18" s="1"/>
  <c r="B172" i="18" s="1"/>
  <c r="B173" i="18" s="1"/>
  <c r="G132" i="18"/>
  <c r="G131" i="18"/>
  <c r="G130" i="18"/>
  <c r="G129" i="18"/>
  <c r="G71" i="18"/>
  <c r="A366" i="20" l="1"/>
  <c r="A370" i="20" s="1"/>
  <c r="A354" i="20"/>
  <c r="A358" i="20" s="1"/>
  <c r="A362" i="20" s="1"/>
  <c r="A374" i="20"/>
  <c r="G128" i="18"/>
  <c r="G127" i="18"/>
  <c r="G126" i="18"/>
  <c r="G125" i="18"/>
  <c r="G124" i="18"/>
  <c r="G54" i="18"/>
  <c r="G50" i="18"/>
  <c r="A390" i="20" l="1"/>
  <c r="A394" i="20" s="1"/>
  <c r="A378" i="20"/>
  <c r="A382" i="20" s="1"/>
  <c r="A386" i="20" s="1"/>
  <c r="G169" i="18"/>
  <c r="C173" i="18" l="1"/>
  <c r="C170" i="18"/>
  <c r="C169" i="18"/>
  <c r="G173" i="18"/>
  <c r="G170" i="18" l="1"/>
  <c r="G176" i="18" s="1"/>
  <c r="G8" i="9" l="1"/>
  <c r="G411" i="20"/>
  <c r="G413" i="20" s="1"/>
  <c r="G7" i="9" s="1"/>
  <c r="G11" i="9" l="1"/>
</calcChain>
</file>

<file path=xl/sharedStrings.xml><?xml version="1.0" encoding="utf-8"?>
<sst xmlns="http://schemas.openxmlformats.org/spreadsheetml/2006/main" count="613" uniqueCount="260">
  <si>
    <t>Redni
broj</t>
  </si>
  <si>
    <t>Opis   stavke</t>
  </si>
  <si>
    <t>Jedinica
mjere</t>
  </si>
  <si>
    <t>Količina radova</t>
  </si>
  <si>
    <t>Jedinična cijena</t>
  </si>
  <si>
    <t>Ukupna cijena (kn)</t>
  </si>
  <si>
    <t>ZEMLJANI RADOVI</t>
  </si>
  <si>
    <t>REKAPITULACIJA</t>
  </si>
  <si>
    <r>
      <t>m</t>
    </r>
    <r>
      <rPr>
        <vertAlign val="superscript"/>
        <sz val="10"/>
        <color theme="1"/>
        <rFont val="Calibri"/>
        <family val="2"/>
        <charset val="238"/>
        <scheme val="minor"/>
      </rPr>
      <t>3</t>
    </r>
  </si>
  <si>
    <t>Obračun po m³ zbijenog materijala.</t>
  </si>
  <si>
    <t>Zemljani radovi ukupno:</t>
  </si>
  <si>
    <t>BETONSKI I ARMIRANOBETONSKI RADOVI</t>
  </si>
  <si>
    <t>Betonski i armiranobetonski radovi ukupno:</t>
  </si>
  <si>
    <t>Obračun po m³ ugrađenog betona.</t>
  </si>
  <si>
    <t>Obračun po kg ugrađenog čelika.</t>
  </si>
  <si>
    <t>Dobava, transport, sječenje, savijanje, postavljanje i vezivanje armature prema planu savijanja armature i statičkom proračunu. Koristiti armaturu B500B. Obračun po kg projektiranog čelika. U jediničnu cijenu uključiti i distancere koje priprema izvođač a odobrava nadzorni inženjer. Distanceri moraju biti takvi da osiguraju zaštitni sloj ali i da ne utječu nepovoljno na hidroizolaciju ili sl. Pričvrstiti ih tako da se osigura njihov stalni i propisani položaj tokom izrade oplate i betoniranja. Datu količinu armature dužan je provjeriti izvođač prije ugovaranja. U slučaju naknadnog odstupanja izvođač nema pravo tražiti naknadu za veće količine ugrađene armature potrebne za punu funkcionalnost. U cijenu je uključen sav materijal, strojevi i rad. Pretpostavlja se prosječno cca 95kg armature po  m³ betona. Količine su informativne a točne će se definirati u nacrtima savijanja armature.</t>
  </si>
  <si>
    <t>MONTAŽERSKI RADOVI</t>
  </si>
  <si>
    <t>REKAPITULACIJA GRAĐEVINSKO OBRTNIČKIH RADOVA</t>
  </si>
  <si>
    <t>Montažerski radovi ukupno:</t>
  </si>
  <si>
    <t>Obračun po komadu</t>
  </si>
  <si>
    <t>Obračun po m³ iskopanog materijala u sraslom stanju.</t>
  </si>
  <si>
    <t>Obračun po m³.</t>
  </si>
  <si>
    <t>rubnjak</t>
  </si>
  <si>
    <t>2. dječji set za sjedanje</t>
  </si>
  <si>
    <t>5. stol za prematanje</t>
  </si>
  <si>
    <t>7. reciklažni koš</t>
  </si>
  <si>
    <t>1. oprema za balansiranje</t>
  </si>
  <si>
    <t>9. stalak za bicikle</t>
  </si>
  <si>
    <t>8. info paneli</t>
  </si>
  <si>
    <t>Obračun po m³</t>
  </si>
  <si>
    <t>3. klupa s naslonom</t>
  </si>
  <si>
    <t>4. set za sjedanje za odrasle</t>
  </si>
  <si>
    <t>6. betonski stol za stolni tenis</t>
  </si>
  <si>
    <t>8. info panel</t>
  </si>
  <si>
    <t>ZIDARSKI RADOVI</t>
  </si>
  <si>
    <t>Obračun po m'.</t>
  </si>
  <si>
    <t>m'</t>
  </si>
  <si>
    <t>Zidarski radovi ukupno:</t>
  </si>
  <si>
    <t>BICIKLISTIČKA STAZA - ĆIROVA STAZA</t>
  </si>
  <si>
    <t>GRAĐEVINSKO OBRTNIČKI RADOVI NA STAZI</t>
  </si>
  <si>
    <t>Obračun po komadu.</t>
  </si>
  <si>
    <t>Obračun po kg.</t>
  </si>
  <si>
    <t>kg</t>
  </si>
  <si>
    <t>Dobava, transport i pričvršćivanje drvenih fosna</t>
  </si>
  <si>
    <r>
      <t>Obračun po m</t>
    </r>
    <r>
      <rPr>
        <sz val="10"/>
        <color theme="1"/>
        <rFont val="Calibri"/>
        <family val="2"/>
        <charset val="238"/>
      </rPr>
      <t>²</t>
    </r>
  </si>
  <si>
    <r>
      <t>m</t>
    </r>
    <r>
      <rPr>
        <sz val="10"/>
        <color theme="1"/>
        <rFont val="Calibri"/>
        <family val="2"/>
        <charset val="238"/>
      </rPr>
      <t>²</t>
    </r>
  </si>
  <si>
    <t>Dobava, transport i pričvršćivanje ograde</t>
  </si>
  <si>
    <t>Obračun po m'</t>
  </si>
  <si>
    <r>
      <t>Obračun po m</t>
    </r>
    <r>
      <rPr>
        <sz val="10"/>
        <color theme="1"/>
        <rFont val="Calibri"/>
        <family val="2"/>
        <charset val="238"/>
      </rPr>
      <t>³</t>
    </r>
    <r>
      <rPr>
        <sz val="10"/>
        <color theme="1"/>
        <rFont val="Calibri"/>
        <family val="2"/>
        <charset val="238"/>
        <scheme val="minor"/>
      </rPr>
      <t xml:space="preserve"> ugrađenog betona i čelične mreže.</t>
    </r>
  </si>
  <si>
    <r>
      <t>Obračun po m</t>
    </r>
    <r>
      <rPr>
        <sz val="10"/>
        <color theme="1"/>
        <rFont val="Calibri"/>
        <family val="2"/>
        <charset val="238"/>
      </rPr>
      <t>³</t>
    </r>
    <r>
      <rPr>
        <sz val="10"/>
        <color theme="1"/>
        <rFont val="Calibri"/>
        <family val="2"/>
        <charset val="238"/>
        <scheme val="minor"/>
      </rPr>
      <t xml:space="preserve"> tampona u zbijenom obliku.</t>
    </r>
  </si>
  <si>
    <t>Dobava, transport i nasipanje tampona granulacije 0-32 mm, debljine sloja 20 cm.</t>
  </si>
  <si>
    <t>Dobava, transport i nasipanje tampona granulacije 0-16 mm, debljine sloja 10 cm.</t>
  </si>
  <si>
    <t>IZGRADNJA OBILAZNICE</t>
  </si>
  <si>
    <t>IZGRADNJA NOVOG KOLNIKA ŽELJEZNIČKOG MOSTA</t>
  </si>
  <si>
    <t>Dobava, transport i postavljanje  L profila izrađenom od čeličnog lima debljine 2 mm</t>
  </si>
  <si>
    <r>
      <t>Obračun po m</t>
    </r>
    <r>
      <rPr>
        <sz val="10"/>
        <color theme="1"/>
        <rFont val="Calibri"/>
        <family val="2"/>
        <charset val="238"/>
      </rPr>
      <t>²</t>
    </r>
    <r>
      <rPr>
        <sz val="10"/>
        <color theme="1"/>
        <rFont val="Calibri"/>
        <family val="2"/>
        <charset val="238"/>
        <scheme val="minor"/>
      </rPr>
      <t>.</t>
    </r>
  </si>
  <si>
    <t>RADOVI NA KOLNIKU</t>
  </si>
  <si>
    <r>
      <t>Obračun po m</t>
    </r>
    <r>
      <rPr>
        <sz val="10"/>
        <color theme="1"/>
        <rFont val="Calibri"/>
        <family val="2"/>
        <charset val="238"/>
      </rPr>
      <t>³</t>
    </r>
  </si>
  <si>
    <t xml:space="preserve">Čišćenje raslinja sa trupa trase u širini od 50 cm </t>
  </si>
  <si>
    <t>komad</t>
  </si>
  <si>
    <t>SMJEROKAZ</t>
  </si>
  <si>
    <t>INFO TABLA</t>
  </si>
  <si>
    <t>TABLA VIDIKOVCA</t>
  </si>
  <si>
    <t>IG-SPOT</t>
  </si>
  <si>
    <t>Rekapitulacija PIKNIK PARK:</t>
  </si>
  <si>
    <t>Rekapitulacija BICIKLISTIČKA STAZA:</t>
  </si>
  <si>
    <t>Široki iskop u terenu pretp. B ktg. s uključenim planiranjem i zbijanjem terena s točnošću ±3 cm prema kotama u projektu. Teren se nivelira  na dno buduće posteljice za kreiranje ravne ili kose plohe, u skladu s projektom. Obračun prema stvarnim kategorijama tla.Dio zdravog materijala iz iskopa deponirati na gradilištu ili na drugoj lokaciji, ovisno o mogućnostima, a sve o trošku izvođača, jer će se koristiti za nasipanje. Višak materijala nakon korištenja zdravog materijala odvesti na deponiju izvan granica gradilišta. 
U cijenu je uključeno iskop, ukrcaj, transport, iskrcaj materijala te sva potrebna osiguranja pokosa od urušavanja. Svi koeficijenti u cijeni. U cijenu uključeno sve komplet, svi materijali, strojevi i radovi.</t>
  </si>
  <si>
    <t xml:space="preserve">Obračun po m³ iskopanog tla mjerenog u sraslom stanju. </t>
  </si>
  <si>
    <t>prosječna dubljina iskopa 30 cm</t>
  </si>
  <si>
    <t>stup za vezivanje pasa</t>
  </si>
  <si>
    <t>Dobava i postavljanje paropropusne-vodonepropusne folije, d=0.04cm</t>
  </si>
  <si>
    <t>Obračun po m² razvijene površine.</t>
  </si>
  <si>
    <t>m²</t>
  </si>
  <si>
    <t>Izolaterski radovi ukupno:</t>
  </si>
  <si>
    <t>Obračun po m².</t>
  </si>
  <si>
    <t>Tesarski radovi ukupno:</t>
  </si>
  <si>
    <t>PODOPOLAGAČKI RADOVI</t>
  </si>
  <si>
    <t>Podopolagački radovi ukupno:</t>
  </si>
  <si>
    <t>koš za smeće</t>
  </si>
  <si>
    <t>stalak za bicikle</t>
  </si>
  <si>
    <t>klupa</t>
  </si>
  <si>
    <t>viseća ležaljka (hammok)</t>
  </si>
  <si>
    <t>zračna hodalica</t>
  </si>
  <si>
    <t>bočna njihalica</t>
  </si>
  <si>
    <t>mini fitnes set twist</t>
  </si>
  <si>
    <t>polužna stolica</t>
  </si>
  <si>
    <t>Rekapitulacija TERETANA:</t>
  </si>
  <si>
    <t>BICIKLISTIČKA STAZA</t>
  </si>
  <si>
    <t>PIKNIK PARK</t>
  </si>
  <si>
    <t>OTVORENA TERETANA</t>
  </si>
  <si>
    <t>UKUPNO</t>
  </si>
  <si>
    <t>Dobava, transport, nasipavanje i razastiranje mješanog agregata granulacije 0-8 mm u sloj od 10 cm.</t>
  </si>
  <si>
    <t>Dobava, transport, nasipavanje, razastiranje i zbijanje mješanog agregata za izgradnju rampe, granulacije 0-32 mm.</t>
  </si>
  <si>
    <t>Nasipavanje višak zemlje oko temelja i na poziciji rampe i dječjeg igrališta</t>
  </si>
  <si>
    <t>dječje igralište</t>
  </si>
  <si>
    <t>Dobava, transport, nasipavanje, razastiranje i zbijanje mješanog agregata kao hodna podloga, granulacije 0-16 mm u sloj od 10 cm.</t>
  </si>
  <si>
    <t>piknik park</t>
  </si>
  <si>
    <t>rampa</t>
  </si>
  <si>
    <t xml:space="preserve">Dobava, transport i izrada rubnjaka od predgotovljenih betonskih zaobljenih rubnjaka poprečnog presjeka 15x25 i dužine 99 cm. U cijenu je uračunat sav rad i materijal za potpuno dovršenje posla. Obračun je po m' izvedenog rubnjaka, a u cijeni je uključena izvedba podloge uređenog tamponskog sloja i temelja od betona C16/20, dobava predgotovljenih elemenata i betona, privremeno uskladištenje i razvoz, svi prijevozi i prijenosi, priprema podloge, rad na ugradbi s obradom sljubnica, njega betona te sav pomoćni rad i materijal. </t>
  </si>
  <si>
    <r>
      <t>m</t>
    </r>
    <r>
      <rPr>
        <sz val="10"/>
        <color theme="1"/>
        <rFont val="Calibri"/>
        <family val="2"/>
        <charset val="238"/>
      </rPr>
      <t>³</t>
    </r>
  </si>
  <si>
    <t xml:space="preserve">Dobava, transport i izrada rubnjaka od predgotovljenih betonskih zaobljenih rubnjaka poprečnog presjeka 8x20x50 cm. Spojnice rubnjaka se fugiraju. U cijenu je uračunat sav rad i materijal za potpuno dovršenje posla. Obračun je po m' izvedenog rubnjaka, a u cijeni je uključena izvedba podloge uređenog tamponskog sloja i temelja od betona C16/20, dobava predgotovljenih elemenata i betona, privremeno uskladištenje i razvoz, svi prijevozi i prijenosi, priprema podloge, rad na ugradbi s obradom sljubnica, njega betona te sav pomoćni rad i materijal. </t>
  </si>
  <si>
    <t>Široki iskop za obilaznicu. Prosjećna dubina 25 cm.</t>
  </si>
  <si>
    <t>Demontaža postojećeg cestovnog rubnjaka.</t>
  </si>
  <si>
    <t>Izrada, doprema i postavljanje table od alubonda debljine 3 mm i dimenzije 200 x 300 cm s aluminijskom podkonstrukcijom.</t>
  </si>
  <si>
    <t>Izrada, doprema i postavljanje isprintane folije</t>
  </si>
  <si>
    <t>Sanacija postojeće ograde. Postojeća i nova ograda su identični.</t>
  </si>
  <si>
    <t>Uski iskop za temelja opreme i platforme za jogu u terenu pretp. B ktg. Obračun prema stvarnim kategorijama tla i stvarnoj veličini temelja opreme. Dio zdravog materijala iz iskopa deponirati na gradilištu ili na drugoj lokaciji, ovisno o mogućnostima, a sve o trošku izvođača, jer će se koristiti za nasipanje. Višak materijala nakon korištenja zdravog materijala odvesti na deponiju izvan granica gradilišta. 
U cijenu je uključeno iskop, ukrcaj, transport, iskrcaj materijala te sva potrebna osiguranja pokosa od urušavanja. Svi koeficijenti u cijeni. U cijenu uključeno sve komplet, svi materijali, strojevi i radovi.</t>
  </si>
  <si>
    <t>platforma za jogu</t>
  </si>
  <si>
    <t>IZRADA INFO TABLA</t>
  </si>
  <si>
    <t>Izrada, doprema i postavljanje isprintane folije.</t>
  </si>
  <si>
    <t>OBNOVLJIVI IZVORI ENERGIJE</t>
  </si>
  <si>
    <t>Nabava, doprema i postavljanje pametnih klupa.</t>
  </si>
  <si>
    <t>DRVENE KLUPE</t>
  </si>
  <si>
    <t>Nabava, doprema i postavljanje drvenih klupa.</t>
  </si>
  <si>
    <t>Dobava, montaža, ožičenje do potpune funkcionalnosti otočnog fotonaponskog sustava. 
Sustav sadržava: FN modul Victron 12V 115W MONO, Regulator VE BS MPPT 75/15, Pretvarac VE Phoenix 12/ 800, Victron 12V/110Ah AGM, Ormar za smještaj opreme IP 66, IK 08 tip AE 1057.500 sa sklopnom, zaštitnom i upravljačkom opremom za upravljanje rasvjetom i fotonaponski razvod. Kabelske cijevi i kabelske vodove fotonaponskog sustava. Nosač fotonaponskog panela izrađen od nehrđajućeg materijala. Građevinski radovi potrebni za montažu sustava.</t>
  </si>
  <si>
    <t>Obračun po kompletu</t>
  </si>
  <si>
    <t>komplet</t>
  </si>
  <si>
    <t>Dobava montaža i spajanje LED reflektora IK 07, IP 65, 3000K, CRI&gt;90, 14W, svjetlosni tok svjetiljke 978 lm 230V, sa zaštitom od pregrijavanja i očekivanim vijekom trajanja od najmanje 50.000 radnih sati. Reflektorska površina izrađena od čistog eloksiranog aluminija. Područje okretanja -30 °/+90 °. Spremno za spajanje pomoću priključnog kabela Tipa kao ili jednakovrijedno: BEGA 84 821 K3</t>
  </si>
  <si>
    <t>Obračun po komada</t>
  </si>
  <si>
    <t>komada</t>
  </si>
  <si>
    <t>Dobava, montaža i provjera ispravnosti rada senzora prisutnosti.</t>
  </si>
  <si>
    <t>Dobava i polaganje zaštitnih savitljivih cijevi UV M25+plašt,750N srednja. Učvršćenje inox obujmicama.
Stavka uključuje sav spojni i montažni pribor te sve potrebne građevinske zahvate prilikom polaganja.</t>
  </si>
  <si>
    <t>Dobava i uvlačenje u cijevi kabelskog voda tipa: NYY 3x1,5mm2</t>
  </si>
  <si>
    <t xml:space="preserve">Predaja sve atestno tehničke dokumentacije Investitoru. Puštanje u rad. Izdavanje ispitnih protokola. Predaja projekta izvedenog stanja. </t>
  </si>
  <si>
    <t xml:space="preserve">Usluga projektantskog nadzora se odnosi na aktivnosti odobrenja materijala i građevnih proizvoda koja se namjeravaju ugraditi kao i cjelokupne projektne dokumentacije i tehničkih rješenja izrađenih i predloženih od strane Izvođača a što obuhvaća:
-	Davanje mišljenja i odobrenja u pogledu izvedbenih projekata kojeg izrađuje Izvođač
-	Tumačenje i pojašnjenje Izvođaču nejasnoća vezanih na projektnu dokumentaciju koja je predana od strane Naručitelja.
-	Estetsku procjenu izvedenih radova i njihove usklađenosti s projektom te ocjenu njihove estetske vrijednosti i prihvatljivosti
-	Tumačenje u domeni odgovornosti projektantskog nadzora u pogledu dodatnih radova potrebnih za izvedbu prema nalogu Naručitelja i/ili Stručnog nadzora koji su vezani na projekt
-	Upućivanje Izvođača tijekom izvedbe u svim slučajevima vezanim na izvođenje radova predviđenih projektom
-	Davanje suglasnosti ili odbijanje predloženih materijala i/ili predloženih izmjena tehničkih rješenja predloženih od Izvođača a sve sukladno glavnom projektu na temelju kojeg je ishođen upravni akt za namjeravani zahvata u prostoru te sukladno Zakonu o građevnim proizvodima (NN 76/13, 30/14, 130/17, 39/19, 118/20) i Tehničkim propisom o građevnim proizvodima (NN 35/18, 104/19) odnosno sa svom nadležnom legislativom
-	Sudjelovanje u radu komisije za tehnički pregled
Glavni projektant daje suglasnost i nastupa ispred projektantskog tima prema Izvođaču, a na temelju izvršene koordinacije sa ostalim ovlaštenim inženjerima koji vrše projektantski nadzor. 
</t>
  </si>
  <si>
    <t>Usluga projektantskog nadzora se ugovara i pruža sukladno:
-	članka 55. Zakona o poslovima i djelatnostima prostornog uređenja i gradnje (NN 78/15, 118/18, 110/19)
-	„Stručnom mišljenju o značenju i načinu ugovaranja projektantskog nadzora“ donesenog (na 24. sjednici održanoj 25. siječnja 2018. godine) od Upravnog odbora Hrvatske komore arhitekata
-	mišljenju Hrvatske komore inženjera građevinarstva o načinu ugovaranja projektantskog nadzora (klasa:101-01/17-01/63, Urbroj: 500-00-17-2, Zagreb 13. listopada 2017. godine) 
-	mišljenju Portala javna nabave od 22.02.2019. godine koji predstavlja službene stranice Ministarstva gospodarstva i održivog razvoja.
-	Upute o pripremi i provedbi postupaka nabave za korisnike bespovratnih sredstava s popisom najčešćih pogrešaka (ažurirano 13.07.2020. godine) izdane od Središnje agencije za financiranje i ugovaranje (SAFU)</t>
  </si>
  <si>
    <t>Ponuditelj je dužan angažirati gospodarski subjekt, koji je izradio glavni projekt na temelju kojeg je ishođen upravni akt za namjeravani zahvata u prostoru,  u svrhu obavljanja usluga projektanstkog nadzora. Vrijednost projektantskog nadzora iznosi 1 % od procijenjene vrijednosti predmeta nabave koji se treba uključiti u sveukupnu ponudu ponuditelja.</t>
  </si>
  <si>
    <t>Sukladno odredbama Zakona o zaštiti na radu Naručitelj je dužan imenovati koordinatora II zaštite na radu. Temeljem članka 77, stavak (2), točka (3) koordinator zaštite na radu na vrijeme građenja obavezan je izraditi ili dati izraditi potrebna usklađenja plana izvođenja radova i dokumentacije sa svim promjenama na gradilištu. Slijedom navedenog plan izvođenja radova treba biti izrađen u skladu sa dodatkom V Pravilnika o zaštiti na radu na privremenim ili pokretnim gradilištima (NN 51/08), te isti treba biti usklađen sa metodologijom/tehnologijom Izvođača koja je planirana za predmetno gradilište. Koordinator II je dužan plan izvođenja radova izrađen od strane Izvođača usvojiti i ovjeriti dok, sukladno Zakonu o zaštiti na radu, Naručitelj vrši prijavu gradilišta nadležnom tijelu.</t>
  </si>
  <si>
    <t>M.	Pravila ponašanja na gradilištu
N.	Popis poslova s procjenom troškova (troškovnikom) uređenja gradilišta i izvođenja zajedničkih mjera za provedbu zaštite na radu na radilištu
O.	Popis isprava, evidencija i uputa iz zaštite na radu, koje se moraju čuvati stalno na gradilištu
P.	Potpis odgovorne osobe za izradu plana izvođenja radova i pečat.</t>
  </si>
  <si>
    <t xml:space="preserve">načinu uređenja (izvor, mjesta priključka), odabiru i razvodu energetskih vodova i električnih instalacija snage (za pogon strojeva i uređaja) i rasvjete do pojedinih trošila, vrste primijenjene zaštite od električnog udara i upute za održavanje i korištenje istih;
-	određivanju vrste i broja strojeva i uređaja s povećanim opasnostima s predviđenim mjerama zaštite u odnosu na njihov smještaj i korištenje;
-	načinu zaštite radnika od pada s visine ili u dubinu;
-	načinu zaštite radnika pri iskopu zemlje, a posebice za rovove, kanale, šahtove, jame i slično;
-	načinu zaštite radnika pri rušenju, odnosno rastavljanju objekata ili nekog njegovoga dijela;
-	određivanju vrste i načina izvođenja – postavljanja skela (projekti s nacrtima i statičkim proračunima);
-	mjerama zaštite od požara te opremi, uređajima i sredstvima za zaštitu od požara na gradilištu;
-	načinu organiziranju pružanja prve pomoći na gradilištu;
-	načinu osiguranja smještaja, prehrane i prijevoza radnika na gradilište i sa gradilišta, ako je to potrebno. </t>
  </si>
  <si>
    <t>Izvođač je dužan razraditi i izraditi sveukupnu projektnu dokumentaciju prije izvođenja radova a što obuhvaća izradu izvedbenog projekta i izradu radioničke dokumentacije i detalja ugradnje, a koja je nužna za cjelokupno izvođenje radova a sve sukladno Pravilniku o obaveznom sadržaju i opremanju projekata građevina (NN 118/19). Izvedbeni projekt i radionička dokumentacija prije samog izvođenja radova trebaju biti odobrena od strane Projektanta kroz uslugu Projektantskog nadzora..</t>
  </si>
  <si>
    <t>Materijali, proizvodi, oprema i radovi moraju biti izrađeni u skladu s normama i tehničkim propisima navedenim u troškovniku i/ili projektnoj dokumentaciji. Ako nije navedena niti jedna norma obavezna je primjena odgovarajućih EN (europska norma). Ako se u međuvremenu neka norma stavi van snage, važit će zamjenjujuća norma ili propis. Izvođač može predložiti primjenu priznatih tehničkih pravila (normi) neke inozemne normizacijske ustanove (ISO, EN, DIN, ASTM…) uz uvjet pisanog obrazloženja i odobrenja od projektanta. Svi radovi koji su predmet ove nabave moraju biti izvedeni sukladno nacionalnim, europskim i međunarodnim normama, a sukladnost istih će se utvrđivati tijekom izvršenja ugovora uz prethodnu suglasnost projektanta. Svi materijali, proizvodi, poluproizvodi i oprema odnosno svi građevinski proizvodi prije ugradnje trebaju biti odobreni od strane Projektanta kroz uslugu Projektantskog nadzora.</t>
  </si>
  <si>
    <t>Projektant je jedini ovlašten za davanje suglasnosti za ocjenu jednakovrijednosti kroz pružanje usluge projektantskog nadzora obzirom na tehničke i estetske kriterije same tehničke specifikacije koje proizlaze iz projektno tehničkih rješenja, a sve sukladno članku 55. Zakona o poslovima i djelatnostima prostornog uređenja i gradnje (NN 78/15, 118/18).</t>
  </si>
  <si>
    <t>Ako za vrijeme izvođenja radova ponuditelj nudi jednakovrijedan proizvod potrebno je priložiti za svaku odgovarajuću stavku troškovnika:
-	Tehničke karakteristike tog proizvoda iz kojih mora biti vidljivo sve potrebno kao dokaz da ponuđeni proizvod odgovara tehničkim karakteristikama koje su se tražile tom stavkom troškovnika;
-	Točan navod na koji se proizvod odnosi
-	Točan naziv troškovnika, naziv i broj stavke.</t>
  </si>
  <si>
    <t>Iz dostavljene dokumentacije kojom se dokazuje jednakovrijednost mora biti vidljiva usporedba tehničke specifikacije iz troškovnika i ponuđene tehničke specifikacije i/ili norme sa nedvojbenom ocjenom jednakovrijednosti prema kriterijima mjerodavnim za ocjenu jednakovrijednosti navedenim u troškovniku. Mjerodavni kriterij za ocjenu „jednakovrijednosti“ su tehničke specifikacije iz troškovnika i/ili projektno-tehničke dokumentacije i ponuđene tehničke specifikacije/norme iz koje mora biti vidljivo da ponuđena tehnička specifikacija/norma zadovoljava sve uvjete i zahtjeve koji proizlaze iz troškovnika/projektno-tehničke dokumentacije.</t>
  </si>
  <si>
    <t>Jednakovrijednost se dokazuje dokumentacijom koja može biti u obliku kataloga i/ili prospekta proizvoda ili njihovih dijelova, ili sličnih dokumenata koji se odnose na proizvod, iz kojeg moraju biti vidljive tražene karakteristike proizvoda koji se nudi kao jednakovrijedan.</t>
  </si>
  <si>
    <t>U svakoj stavci troškovnika i/ili projektno-tehničke dokumentacije gdje je navedena određena tehnička specifikacija i/ili norma smatra se da je ista popraćena sa izrazom „ili jednakovrijedno“ neovisno da li je izričito napisan izraz „jednakovrijedno“ u samoj stavci, a sve sukladno članku 209. i 210. Zakona o javnoj nabavi.</t>
  </si>
  <si>
    <t>U slučaju kada ponuditelj za pojedinu stavku u stupcu JEDNAKOVRIJEDNO nudi jednakovrijedan proizvod, tada taj nuđeni proizvod odgovarajuće upisuje u tablicu uz navođenje svih zahtjeva definiranih tehničkim specifikacijama, i navođenje naziva dokaza na temelju kojih će Naručitelj ocijeniti jednakovrijednost s traženim.</t>
  </si>
  <si>
    <t>U troškovniku je predviđen poseban stupac, stupac pod nazivom „Jednakovrijednost“, u koji ponuditelj upisuje ponuđene jednakovrijedne tehničke specifikacije, radi usklađenosti troškovnika i/ili predmetne tehničke dokumentacije sa odredbama Zakona o javnoj nabavi.</t>
  </si>
  <si>
    <t>Ponuditelj je dužan ponuditi cjelokupni predmet nabave koji čini predmet nabave. Ponuditelj mora ispuniti sve stavke opisane u troškovniku. Jedinične cijene svake stavke troškovnika i ukupna cijena, izražene u kunama, moraju biti zaokružene na dvije decimale. Ako ponuditelj promijeni tekst ili količine navedene u obrascu troškovnika, smatrat će se da je takav troškovnik nepotpun i nevažeći te će takva ponuda biti odbijena.</t>
  </si>
  <si>
    <t xml:space="preserve">Troškovnik mora biti popunjen na izvornom predlošku bez mijenjanja, ispravljanja i prepisivanja izvornog teksta. Pod izvornim predloškom/troškovnikom podrazumijeva se troškovnik koji uključuje i sve izmjene i dopune koje su, ukoliko ih je bilo u postupku javne nabave do zaključenja ugovora. </t>
  </si>
  <si>
    <t>Ukoliko ponuditelj smatra da nešto nije jasno i/ili neispravno u projektno-tehničkoj dokumentaciji i/ili troškovniku, tada je ponuditelj dužan kroz postupak javne nabave zatražiti pojašnjenje/dopunu/izmjenu. Podnošenjem ponude ponuditelj potvrđuje da je sveukupna projektno-tehnička dokumentacija i troškovnik ispravan i jasan te da na temelju iste može izvesti sve predviđene i potrebne radove po sistemu ugovora sa odredbom "ključ u ruke" do pune funkcionalnosti i uporabljivosti predmetne građevine.</t>
  </si>
  <si>
    <t>Neovisno o ispravnosti samog opisa svake stavke troškovnika i/ili projektno-tehničke dokumentacije, prilikom davanja cijene za svaku pojedinu stavku troškovnika sukladno projektno-tehničkoj dokumentaciji, ponuditelj treba uključiti u svaku pojedinu stavku odnosno ukupnu ponudu sav potreban rad i materijal kojim se osigurava u cijelosti izvođenje radova do pune funkcionalnosti predmetne građevine a sve sukladno projektno-tehničkoj dokumentaciji koja je stavljena na raspolaganje od strane Naručitelja.</t>
  </si>
  <si>
    <t>Dostavom ponude po ovom troškovniku smatra se da je ponuditelj upoznat sa svim okolnostima i specifičnostima kao i otežanim uvjetima koji mogu nastati prilikom izvođenja radova te je iste uzeo u obzir prilikom izrade ponude po ovom troškovniku.</t>
  </si>
  <si>
    <t>1.	NAPOMENE UZ TROŠKOVNIK</t>
  </si>
  <si>
    <t xml:space="preserve">
-	određivanju granica gradilišta prema okolini (vidno označavanje ili ograđivanje gradilišta);
-	određivanju i održavanju radnih prostorija, garderoba, sanitarnih čvorova i smještajnih objekata na gradilištu;
-	određivanju prometnih komunikacija, evakuacijskih putova i nužnih izlaza s uputama za održavanje;
-	utvrđivanju mjesta, prostora i načina razmještaja i skladištenja materijala koji se ugrađuje;
-	određivanju mjesta i prostora za smještaj i čuvanje opasnog, zapaljivog i eksplozivnog materijala;
-	načinu prijevoza, prijenosa, utovara, istovara i odlaganja raznih vrsta materijala i teških voluminoznih predmeta;
-	načinu označavanja, odnosno osiguranja opasnih mjesta i ugroženih prostora na gradilištu (opasne zone);
-	načinu rada u neposrednoj blizini ili na mjestima gdje se pojavljuju po zdravlje štetni plinovi, prašine, pare odnosno gdje može doći do požara, eksplozije ili mogu nastati druge opasnosti;
</t>
  </si>
  <si>
    <t>Prije izvođenja radova izvođač je dužan dostaviti prijedlog plana izvođenja radova stručnom nadzoru na odobrenje. Plan izvođenja radova mora sadržavati:
A.	Opis i shemu (nacrt) izvođenja radova, u skladu sa zahtjevima iz Dodatka IV Pravilnika o zaštiti na radu na privremenim ili pokretnim gradilištima (koji određuje konkretan način ispunjavanja zahtjeva), a naročito o:
-	podacima (podzemni i nadzemni katastar, situacije, nacrti) o postojećim instalacijama i uređajima te utjecajima okoliša gradilišta na sigurnost i zdravlje radnika, s naglaskom na učinkovito prozračivanje gradilišta i prijašnje korištenje terena ili objekata radi zaostalih opasnih tvari ili predmeta odnosno materijala i podacima o poduzimanju potrebnih mjera za zaštitu na radu;</t>
  </si>
  <si>
    <t xml:space="preserve">F.	Postupke za svaku pojedinu opasnu fazu rada ili faze radova koje se obavljaju istovremeno ili u slijedu jedna iza druge pri čemu je potrebno definirati:
-	tehničke odnosno organizacijske mjere koje je potrebno poduzeti prije početka radova u skladu s načelima zaštite na radu iz članka 13. ovoga Pravilnika o zaštiti na radu na privremenim ili pokretnim gradilištima;
-	minimalno vrijeme koje je potrebno kako bi se radovi mogli obaviti na siguran način;
-	minimalni broj radnika koji u toj fazi moraju sudjelovati;
-	potrebna sredstva rada kao i način provjere njihove ispravnosti prije početka izvođenja faze radova.
G.	Postupak usklađivanja izvođenja radova i dokumentacije sa svim promjenama na gradilištu
H.	Vremenski plan radova – kojim se određuje redoslijed/istovremenost i rokovi za izvršenje
I.	Način organiziranja suradnje i uzajamno izvješćivanja svih izvođača radova i njihovih radničkih predstavnika, koji će zajedno ili jedan za drugim (u slijedu) raditi na istom gradilištu o tijeku, s ciljem sprečavanja ozljeda na radu i zaštite zdravlje radnika
J.	Način organiziranja da na gradilište imaju pristup samo osobe koje su na njemu zaposlene i osobe koje imaju dozvolu ulaska na gradilište
K.	Zajedničke mjere zaštite na radu na gradilištu
L.	Obveza izvođača o međusobnom izvješćivanju o tijeku pojedinačnih faza rada
</t>
  </si>
  <si>
    <t>B.	Popis opasnih tvari
C.	Popis posebno opasnih poslova
D.	Određivanje mjesta rada na kojima postoji povećana opas¬nost za život i zdravlje radnika, kao i vrste i količine potrebnih osobnih zaštitnih sredstava odnosno zaštitne opreme
E.	Postupke za usklađivanje međudjelovanja svih aktivnosti u neposrednoj blizini gradilišta, također s mogućnošću hitnog isključenja komunalnih vodova u slučaju nužde</t>
  </si>
  <si>
    <t>Projektantski nadzor je usluga koju obavlja projektant, odnosno projektantski tim, koji je izradio cjelovitu projektnu dokumentaciju odnosno glavni projekt na temelju kojeg je ishođen upravni akt za namjeravani zahvat u prostoru. Projektantski nadzor se vrši za vrijeme izvođenja radova, a odnosi se na pojedinosti oblikovanja i izvedbe, koje se ne mogu jednoznačno odrediti samom projektnom dokumentacijom odnosno glavnim projektom stoga je nužan dodatni angažman projektanta na gradilištu.
Projektantski nadzor predstavlja stručno vodstvo i kontrolu potpune dosljedne realizacije usvojenog projekta u svim elementima koji taj projekt čini kao obvezni dijelovi projektne dokumentacije, kao i u svim onim elementima, koji temeljem propisa, nisu obvezni dio projektne dokumentacije po kojoj se radovi izvode, ali koji čine bitnu odrednicu projekta, a pogotovo što je izvođač obvezi izrade Izvedbenog projekta.
Bitno je napomenuti da projektantski nadzor nije i ne može biti zamjena stručnom nadzoru odnosno radu nadzornog inženjera, budući da su zadaće nadzornog inženjera jasno propisane zakonom o gradnji i zakonom o poslovima i djelatnostima prostornog uređenja i gradnje, stoga aktivnosti i zadaće projektanta u obavljanju projektantskog nadzora i aktivnosti i zadaće nadzornog inženjera se ni na koji način ne preklapaju.</t>
  </si>
  <si>
    <t>Nabava, doprema i postavljanje grede  C24 16x20, drvo četinara II klase</t>
  </si>
  <si>
    <t>Nabava, doprema i postavljanje grede  C24 10x12, drvo četinara II klase</t>
  </si>
  <si>
    <t>TESARSKI RADOVI-za joga platformu</t>
  </si>
  <si>
    <t>PODOPOLAGAČKI RADOVI-za joga platformu</t>
  </si>
  <si>
    <t>Nabava, doprema i postavljanje fosne širine 30 cm, drvo četinara II klase</t>
  </si>
  <si>
    <t>IZOLATERSKI RADOVI-za joga platformu</t>
  </si>
  <si>
    <t>ZIDARSKI RADOVI-rubnjake</t>
  </si>
  <si>
    <t>temelji 25x25x25+50x50x25 - 19 komada</t>
  </si>
  <si>
    <t>stepenice - 4 komada</t>
  </si>
  <si>
    <t>Izrada podlogu za temeljenje od betona C12/15 u sloju od 5 cm</t>
  </si>
  <si>
    <t>Izrada podlogu za temeljenje joga platforme od betona C12/15 u sloju od 5 cm</t>
  </si>
  <si>
    <t>Dobava, transport, sječenje, savijanje, postavljanje i vezivanje armature prema planu savijanja armature i statičkom proračunu. Koristiti armaturu B500B. Obračun po kg projektiranog čelika. U jediničnu cijenu uključiti i distancere koje priprema izvođač a odobrava nadzorni inženjer. Distanceri moraju biti takvi da osiguraju zaštitni sloj ali i da ne utječu nepovoljno na hidroizolaciju ili sl. Pričvrstiti ih tako da se osigura njihov stalni i propisani položaj tokom izrade oplate i betoniranja. Datu količinu armature dužan je provjeriti izvođač prije ugovaranja. U slučaju naknadnog odstupanja izvođač nema pravo tražiti naknadu za veće količine ugrađene armature potrebne za punu funkcionalnost. U cijenu je uključen sav materijal, strojevi i rad. Pretpostavlja se prosječno cca 95kg armature po m³ betona. Količine su informativne a točne će se definirati u nacrtima savijanja armature.</t>
  </si>
  <si>
    <t>Nasipavanje višak zemlje oko temelja i u obuhvatu</t>
  </si>
  <si>
    <t>Dobava, transport, nasipavanje, razastiranje i zbijanje mehanički stabilizirane nosive šljunčane podloge na tlu. U stavku uključena priprema temeljnog tla ravnanjem s tolerancijom ±3 mm i zbijanjem do potrebne zbijenosti (Ms≥60 MPa) kao i kontrola zbijenosti. Šljunčani materijal ugraditi u sloju od 10 cm (u zbijenom stanju). Veličina zrna tamponskog materijala do 32 mm jednolike mješavine.</t>
  </si>
  <si>
    <r>
      <t xml:space="preserve">BICIKLISTIČKA STAZA - ĆIROVA STAZA - </t>
    </r>
    <r>
      <rPr>
        <b/>
        <sz val="12"/>
        <rFont val="Calibri"/>
        <family val="2"/>
        <charset val="238"/>
        <scheme val="minor"/>
      </rPr>
      <t>OTVORENA TERETANA</t>
    </r>
  </si>
  <si>
    <r>
      <t>m</t>
    </r>
    <r>
      <rPr>
        <vertAlign val="superscript"/>
        <sz val="10"/>
        <rFont val="Calibri"/>
        <family val="2"/>
        <charset val="238"/>
        <scheme val="minor"/>
      </rPr>
      <t>3</t>
    </r>
  </si>
  <si>
    <t>4. set sa sjedanje za odrasle - 3 komada</t>
  </si>
  <si>
    <t>6.stol za stolni tenis</t>
  </si>
  <si>
    <r>
      <t xml:space="preserve">Uski iskop za temelja rubnjaka, zida ograde i opreme u terenu pretp. B ktg. </t>
    </r>
    <r>
      <rPr>
        <b/>
        <sz val="10"/>
        <rFont val="Calibri"/>
        <family val="2"/>
        <charset val="238"/>
        <scheme val="minor"/>
      </rPr>
      <t>Obračun prema stvarnim kategorijama tla i stvarnoj veličini temelja opreme</t>
    </r>
    <r>
      <rPr>
        <sz val="10"/>
        <rFont val="Calibri"/>
        <family val="2"/>
        <charset val="238"/>
        <scheme val="minor"/>
      </rPr>
      <t>. Dio zdravog materijala iz iskopa deponirati na gradilištu ili na drugoj lokaciji, ovisno o mogućnostima, a sve o trošku izvođača, jer će se koristiti za nasipanje. Višak materijala nakon korištenja zdravog materijala odvesti na deponiju izvan granica gradilišta. 
U cijenu je uključeno iskop, ukrcaj, transport, iskrcaj materijala te sva potrebna osiguranja pokosa od urušavanja. Svi koeficijenti u cijeni. U cijenu uključeno sve komplet, svi materijali, strojevi i radovi.</t>
    </r>
  </si>
  <si>
    <t xml:space="preserve">Dobava, transport i izrada rubnjaka od predgotovljenih betonskih zakošenih rubnjaka poprečnog presjeka 8x20 i dužine 50 cm. U cijenu je uračunat sav rad i materijal za potpuno dovršenje posla. Obračun je po m' izvedenog rubnjaka, a u cijeni je uključena izvedba podloge uređenog tamponskog sloja i temelja od betona C16/20, dobava predgotovljenih elemenata i betona, privremeno uskladištenje i razvoz, svi prijevozi i prijenosi, priprema podloge, rad na ugradbi s obradom sljubnica, njega betona te sav pomoćni rad i materijal. </t>
  </si>
  <si>
    <t xml:space="preserve">Dobava, transport i izrada rubnjaka od predgotovljenih betonskih ravnog rubnjaka poprečnog presjeka 8x20 i dužine 50 cm. U cijenu je uračunat sav rad i materijal za potpuno dovršenje posla. Obračun je po m' izvedenog rubnjaka, a u cijeni je uključena izvedba podloge uređenog tamponskog sloja i temelja od betona C16/20, dobava predgotovljenih elemenata i betona, privremeno uskladištenje i razvoz, svi prijevozi i prijenosi, priprema podloge, rad na ugradbi s obradom sljubnica, njega betona te sav pomoćni rad i materijal. </t>
  </si>
  <si>
    <t xml:space="preserve">Dobava, transport i izrada rubnjaka od predgotovljenih betonskih zakošenih rubnjaka poprečnog presjeka 15x25 i dužine 99 cm kao upuštenih. U cijenu je uračunat sav rad i materijal za potpuno dovršenje posla. Obračun je po m' izvedenog rubnjaka, a u cijeni je uključena izvedba podloge uređenog tamponskog sloja i temelja od betona C16/20, dobava predgotovljenih elemenata i betona, privremeno uskladištenje i razvoz, svi prijevozi i prijenosi, priprema podloge, rad na ugradbi s obradom sljubnica, njega betona te sav pomoćni rad i materijal. </t>
  </si>
  <si>
    <t>površina teretane</t>
  </si>
  <si>
    <t>1.stupa za vezivanje pasa</t>
  </si>
  <si>
    <t>2.reciklažnog koša - 2 komada</t>
  </si>
  <si>
    <t>3.solarni punkt</t>
  </si>
  <si>
    <t>4.stalak za bicikle</t>
  </si>
  <si>
    <t>5.klupa x 2 - 2 komada</t>
  </si>
  <si>
    <t>6.viseće ležaljke x2 - 2 komada</t>
  </si>
  <si>
    <t>7,8,10.oprema za vježbanje - 3 komada</t>
  </si>
  <si>
    <t>9.oprema za vježbanje - 1 komada</t>
  </si>
  <si>
    <t>1.stup za vezivanje pasa 30x30x40</t>
  </si>
  <si>
    <t>2.reciklažni koš 95x25x25 - 2 komada</t>
  </si>
  <si>
    <t>4.stalak za bicikle 230x80x25</t>
  </si>
  <si>
    <t>5.klupa 30x30x40 x 2 - 2 komada</t>
  </si>
  <si>
    <t>6.viseća ležaljka 70x70x60 x 2 - 2 komada</t>
  </si>
  <si>
    <t>7,8,10.oprema za vježbanje 70x70x60 - 3 komada</t>
  </si>
  <si>
    <t>9.oprema za vježbanje 170x80x25- 1 komad</t>
  </si>
  <si>
    <t>1.stup za vezivanje pasa</t>
  </si>
  <si>
    <t>2.reciklažni koš - 2 komada</t>
  </si>
  <si>
    <t>6.viseća ležaljka x 2 - 2 komada</t>
  </si>
  <si>
    <t>9.oprema za vježbanje - 1 komad</t>
  </si>
  <si>
    <t>9.oprema za vježbanje x 1</t>
  </si>
  <si>
    <t>7,8,10.oprema za vježbanje x 3</t>
  </si>
  <si>
    <t>8. info paneli-7 komada</t>
  </si>
  <si>
    <t>Čišćenje obuhvata od visokog raslinja prije širokog iskopa.</t>
  </si>
  <si>
    <r>
      <t>Obračun po m</t>
    </r>
    <r>
      <rPr>
        <sz val="10"/>
        <color theme="1"/>
        <rFont val="Calibri"/>
        <family val="2"/>
        <charset val="238"/>
      </rPr>
      <t>²</t>
    </r>
    <r>
      <rPr>
        <sz val="10"/>
        <color theme="1"/>
        <rFont val="Calibri"/>
        <family val="2"/>
        <charset val="238"/>
        <scheme val="minor"/>
      </rPr>
      <t xml:space="preserve"> očišćene površine.</t>
    </r>
  </si>
  <si>
    <t>Dobava, transport i postavljanje  pocinčane mreže na ogradi, debljine 2,05 mm.</t>
  </si>
  <si>
    <t xml:space="preserve">Dobava, transport, nasipavanje, razastiranje i zbijanje tampona granulacije 0-32 mm, debljine sloja 20 cm u zbijenom obliku, širine sloja od 40 cm (sanacija kolotraga 2 x 40) </t>
  </si>
  <si>
    <t xml:space="preserve">Dobava, transport, nasipavanje, razastiranje i zbijanje mješanog agregata granulacije 0-16 mm, debljine sloja 10 cm u zbijenom obliku, širine sloja od 40 cm (sanacija kolotraga 2 x 40) </t>
  </si>
  <si>
    <t xml:space="preserve">Dobava, transport, nasipavanje, razastiranje i zbijanje mješanog agregata granulacije 0-16 mm, debljine sloja 10 cm u zbijenom obliku, širine sloja od 40 cm (sanacija kolotraga 1 x 40) </t>
  </si>
  <si>
    <t xml:space="preserve">Dobava, transport, nasipavanje, razastiranje i zbijanje mješanog agregata granulacije 0-16 mm, debljine sloja 10 cm u zbijenom obliku, širine sloja od 40 cm (nasipavanje u tunelima) </t>
  </si>
  <si>
    <t>Izrada, doprema i postavljanje table smjerokaza dimenzija 20 x40 cm. Boja table RAL 2001.</t>
  </si>
  <si>
    <t>Izrada, doprema i postavljanje FeZn stup Ø 63,5 mm, visine 130 cm</t>
  </si>
  <si>
    <t>Izrada, doprema i postavljanje table od neprovidnog pleksiglasa debljine 3 mm dimenzije 79x90 cm.</t>
  </si>
  <si>
    <t>Izrada, doprema i postavljanje čeličnih stupova od T profila dimenzija 70x70x8,32. Zaštičeni premazom boje RAL 2001.</t>
  </si>
  <si>
    <t>Izrada (betoniranje) pojedinačnih temelja C25/30, dimenzija 45x45x70 cm. Beton se izvodi na uređenom tamponskom sloju - 30 komada</t>
  </si>
  <si>
    <t>Izrada (betoniranje) pojedinačnih temelja C25/30, dimenzija 30x30x40 cm. Beton se izvodi na uređenom tamponskom sloju - 50 komada</t>
  </si>
  <si>
    <t>Izrada, doprema i postavljanje table od providnog pleksiglasa debljine 3 mm dimenzije 79 x 90 cm.</t>
  </si>
  <si>
    <t>Izrada (betoniranje) pojedinačnih temelja C25/30, dimenzija 45x45x70 cm. Beton se izvodi na uređenom tamponskom sloju - 10 komada</t>
  </si>
  <si>
    <t>Izrada (betoniranje) pojedinačnih temelja C25/30, dimenzija 30x30x40 cm. Beton se izvodi na uređenom tamponskom sloju - 40 komada</t>
  </si>
  <si>
    <t>Nabava, doprema i postavljanje solarnih punjača za električne bicikle.</t>
  </si>
  <si>
    <t>IZGRADNJA BICIKLISTIČKOG MOSTA IZNAD OŠTEČENOG NASIPA</t>
  </si>
  <si>
    <t>9 komada</t>
  </si>
  <si>
    <t>Sidrenje čeličnih profila HEA120 u stjeni sa sidrenih vijaka, po osam za svaki nosač.</t>
  </si>
  <si>
    <t>Dobava, transport i pričvršćivanje čelične profile HEA120 slijedeće dužine i broj komada po dužini:
170 cm x 2komada
175 cm x 1 komad
185 cm x 2 komada
190 cm x 1 komad
195 cm x 1 komad
200 cm x 1 komad
205 cm x 1 komad</t>
  </si>
  <si>
    <t>Dobava, transport i pričvršćivanje čelične profile UPN100 ukupne dužine 2 x 24,15 m.</t>
  </si>
  <si>
    <t>Dobava, transport, razastiranje i nabijanje tampona granulacije 0-32 mm za izradu rampe.</t>
  </si>
  <si>
    <t>Dobava, transport, razastiranje i nabijanje mješanog agregata granulacije 0-16 mm kao završni sloj rampe u sloj od 10 cm.</t>
  </si>
  <si>
    <t>Dobava, transport i izrada betonske podloge (ploče) debljine 10 cm od betona C30/37</t>
  </si>
  <si>
    <r>
      <t>Obračun po m</t>
    </r>
    <r>
      <rPr>
        <sz val="10"/>
        <color theme="1"/>
        <rFont val="Calibri"/>
        <family val="2"/>
        <charset val="238"/>
      </rPr>
      <t>³</t>
    </r>
    <r>
      <rPr>
        <sz val="10"/>
        <color theme="1"/>
        <rFont val="Calibri"/>
        <family val="2"/>
        <charset val="238"/>
        <scheme val="minor"/>
      </rPr>
      <t xml:space="preserve"> ugrađenog betona.</t>
    </r>
  </si>
  <si>
    <t>Dobava, transport, sječenje, savijanje, postavljanje i vezivanje armature prema planu savijanja armature i statičkom proračunu. Koristiti armaturnu mrežu Q257 B500B. Obračun po kg projektiranog čelika. U jediničnu cijenu uključiti i distancere koje priprema izvođač a odobrava nadzorni inženjer. Distanceri moraju biti takvi da osiguraju zaštitni sloj ali i da ne utječu nepovoljno na hidroizolaciju ili sl. Pričvrstiti ih tako da se osigura njihov stalni i propisani položaj tokom izrade oplate i betoniranja. Datu količinu armature dužan je provjeriti izvođač prije ugovaranja. U slučaju naknadnog odstupanja izvođač nema pravo tražiti naknadu za veće količine ugrađene armature potrebne za punu funkcionalnost. U cijenu je uključen sav materijal, strojevi i rad. Pretpostavlja se prosječno cca 95kg armature po  m³ betona. Količine su informativne a točne će se definirati u nacrtima savijanja armature.</t>
  </si>
  <si>
    <t>Izrada, doprema i postavljanje čeličnih stupova UPN120. Zaštičeni bojom RAL 2001.</t>
  </si>
  <si>
    <t>Izrada (betoniranje) temelja C25/30, dimenzija 70x208x80 cm. Beton se izvodi na uređenom tamponskom sloju.</t>
  </si>
  <si>
    <t>Izrada (betoniranje) pojedinačnih temelja C25/30, dimenzija 30x40x40 cm, po dva za svaku solarnu klupu.</t>
  </si>
  <si>
    <t>Izrada (betoniranje) temelja C25/30, dimenzija 150x185x25 cm za solarni punjač za električne bicikle.</t>
  </si>
  <si>
    <t>Izrada (betoniranje) pojedinačnih temelja za opremu C25/30.</t>
  </si>
  <si>
    <t>2. dječji set za sjedanje - 4 komada</t>
  </si>
  <si>
    <t>3. klupa - 5 komada</t>
  </si>
  <si>
    <t>HORTIKULTURNO UREĐENJE</t>
  </si>
  <si>
    <t>Dobava, doprema i sadnja novih stabala</t>
  </si>
  <si>
    <t>Hortikulturno uređenje:</t>
  </si>
  <si>
    <r>
      <t xml:space="preserve">BICIKLISTIČKA STAZA - ĆIROVA STAZA - </t>
    </r>
    <r>
      <rPr>
        <b/>
        <sz val="12"/>
        <rFont val="Calibri"/>
        <family val="2"/>
        <charset val="238"/>
        <scheme val="minor"/>
      </rPr>
      <t>PIKNIK PARK I DJEČJE IGRALIŠTE</t>
    </r>
  </si>
  <si>
    <r>
      <t>Obračun po m</t>
    </r>
    <r>
      <rPr>
        <sz val="10"/>
        <rFont val="Calibri"/>
        <family val="2"/>
        <charset val="238"/>
      </rPr>
      <t>²</t>
    </r>
  </si>
  <si>
    <r>
      <t>m</t>
    </r>
    <r>
      <rPr>
        <sz val="10"/>
        <rFont val="Calibri"/>
        <family val="2"/>
        <charset val="238"/>
      </rPr>
      <t>²</t>
    </r>
  </si>
  <si>
    <t>TROŠKOVNIK GRAĐEVINSKO OBRTNIČKIH RADOVA I HORTIKULTURNOG UREĐENJA</t>
  </si>
  <si>
    <t>REKAPITULACIJA GRAĐEVINSKO OBRTNIČKIH RADOVA I HORTIKULTURNOG UREĐENJA</t>
  </si>
  <si>
    <r>
      <t xml:space="preserve">Uski iskop za temelja u terenu pretp. B ktg. </t>
    </r>
    <r>
      <rPr>
        <b/>
        <sz val="10"/>
        <rFont val="Calibri"/>
        <family val="2"/>
        <charset val="238"/>
        <scheme val="minor"/>
      </rPr>
      <t>Obračun prema stvarnim kategorijama tla i stvarnoj veličini temelja opreme</t>
    </r>
    <r>
      <rPr>
        <sz val="10"/>
        <rFont val="Calibri"/>
        <family val="2"/>
        <charset val="238"/>
        <scheme val="minor"/>
      </rPr>
      <t>. Dio zdravog materijala iz iskopa deponirati na gradilištu ili na drugoj lokaciji, ovisno o mogućnostima, a sve o trošku izvođača, jer će se koristiti za nasipanje. Višak materijala nakon korištenja zdravog materijala odvesti na deponiju izvan granica gradilišta. 
U cijenu je uključeno iskop, ukrcaj, transport, iskrcaj materijala te sva potrebna osiguranja pokosa od urušavanja. Svi koeficijenti u cijeni. U cijenu uključeno sve komplet, svi materijali, strojevi i radovi.</t>
    </r>
  </si>
  <si>
    <t>Izrada, dobava i postavljanje nove ograde na ulaz/izlaz u tunel Mihanići. U stavki je uključena i izrada temelja dimenzija 20 x 20 x 40 cm, po 3 komada za svaku ogradu od betona C25/30 i armature B500B.
Ograda je sastavljena od dva osnovna elementa: stupovi, plosno željezo 10/60 i čelične šipke Ø 16 mm.
Zaštita od korozije se radi premazima nakon montaže.</t>
  </si>
  <si>
    <t>Izrada, dobava i postavljanje nove ograde. U stavki je uključena i izrada temelja dimenzija 20 x 20 x 40 cm na svakih 280-310 cm dužine ograde.
Ograda je sastavljena od dva osnovna elementa: stupovi, plosno željezo 10/60 i čelične šipke Ø 16 mm.
Zaštita od korozije se radi premazima nakon montaže.</t>
  </si>
  <si>
    <t>Izrada (betoniranje) pojedinačnih temelja C25/30, dimenzija 20 x 20 x 40 cm. Beton se izvodi na uređenom tamponskom sloju. U stavki uračunat i iskpop za temelje.</t>
  </si>
  <si>
    <t>Dobava, transport, nasipavanje, razastiranje mješanog agregata kao završna podloga, granulacije 0-8 mm u sloj od 8 cm.</t>
  </si>
  <si>
    <t>Dobava, transport, nasipavanje, razastiranje I zbijanje mješanog agregata kao završna podloga na biciklističkoj stazi, granulacije 0-16 mm u sloj od 8 cm.</t>
  </si>
  <si>
    <t>3.solarni punjač 150x185x25</t>
  </si>
  <si>
    <t>3.solarni punjač</t>
  </si>
  <si>
    <t xml:space="preserve">Izrada pojedinačnih temelja za opremu C25/30. Beton se izvodi na uređenom tamponskom sloju i podložni beton. </t>
  </si>
  <si>
    <t>Izrada pojedinačnih temelja za joga platformu s glatkom sivom obradom betona C25/30. Temelji se izrađuju na uređenom tamponskom sloju i podložni beton.</t>
  </si>
  <si>
    <t>Nabava, doprema i postavljanje OSB ploče debljine 15 mm u dva sloja.</t>
  </si>
  <si>
    <t>temelji ograde i rubnjak</t>
  </si>
  <si>
    <t>Izrada, doprema i postavljanje čeličnog nosača od COR-TEN A S355 JOWP+AR u obliku slova ˝U˝ dimenzije 100x797x5 mm. Visina nosača je 2000 mm. 
Izrada, doprema i postavljanje table od COR-TEN A S355 JOWP+AR debljine 1 mm dimenzije 79 x 80 cm.
Ukupno 7 komada.</t>
  </si>
  <si>
    <t>Dobava, doprema i ugradnja ograde od pocinčano univerzalno pletivo eko, visine 125 cm.</t>
  </si>
  <si>
    <t>bijeli grab - Carpinus orientalis</t>
  </si>
  <si>
    <t>lavanda - Lavandula sp. (Miller)</t>
  </si>
  <si>
    <t>čempres - Cupressus sempervirens var. pyramidalis L. stricta</t>
  </si>
  <si>
    <t>hrast medunac - Quercus pubescens Willd.</t>
  </si>
  <si>
    <t xml:space="preserve">Dobava, doprema i ugradnja stupove za ograde, dužine 185 cm u boji RAL 7030 prije betoniranja temelja istog. </t>
  </si>
  <si>
    <t>Dobava, doprema i ugradnja kosnika za stupove ograde, dužine 125 cm u boji RAL 7030 prije betoniranja temelja ustog.</t>
  </si>
  <si>
    <t>Dobava, doprema i ugradnja vrata ograde, dimenzija 100/120 cm u boji RAL 7030 prije betpniranja temelja iste.</t>
  </si>
  <si>
    <t>Dobava, dopremu i ugradnja opreme.</t>
  </si>
  <si>
    <t>Dobava, doprema i postavljanje deckinga debljine d= 2,4 cm na podkonstrukciju. Uključen i sav drugi pomoćni i ugradbeni materijal.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</si>
</sst>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 [$EUR];[Red]#,##0.00\ [$EUR]"/>
    <numFmt numFmtId="166" formatCode="[$HRK]\ #,##0.00"/>
    <numFmt numFmtId="167" formatCode="[$KHR]\ #,##0.00"/>
    <numFmt numFmtId="168" formatCode="_-* #,##0.00\ [$kn-41A]_-;\-* #,##0.00\ [$kn-41A]_-;_-* &quot;-&quot;??\ [$kn-41A]_-;_-@_-"/>
    <numFmt numFmtId="169" formatCode="#,##0.00\ &quot;kn&quot;;[Red]#,##0.00\ &quot;kn&quot;"/>
  </numFmts>
  <fonts count="23" x14ac:knownFonts="1">
    <font>
      <sz val="11"/>
      <color theme="1"/>
      <name val="Calibri"/>
      <family val="2"/>
      <charset val="238"/>
      <scheme val="minor"/>
    </font>
    <font>
      <sz val="12"/>
      <name val="Calibri"/>
      <family val="2"/>
      <scheme val="minor"/>
    </font>
    <font>
      <b/>
      <sz val="12"/>
      <name val="Calibri"/>
      <family val="2"/>
      <charset val="238"/>
      <scheme val="minor"/>
    </font>
    <font>
      <b/>
      <sz val="11"/>
      <color theme="1"/>
      <name val="Calibri"/>
      <family val="2"/>
      <charset val="238"/>
      <scheme val="minor"/>
    </font>
    <font>
      <vertAlign val="superscript"/>
      <sz val="10"/>
      <color theme="1"/>
      <name val="Calibri"/>
      <family val="2"/>
      <charset val="238"/>
      <scheme val="minor"/>
    </font>
    <font>
      <sz val="10"/>
      <name val="Arial"/>
      <family val="2"/>
    </font>
    <font>
      <sz val="10"/>
      <name val="Calibri"/>
      <family val="2"/>
      <charset val="238"/>
      <scheme val="minor"/>
    </font>
    <font>
      <sz val="10"/>
      <color theme="1"/>
      <name val="Calibri"/>
      <family val="2"/>
      <charset val="238"/>
      <scheme val="minor"/>
    </font>
    <font>
      <b/>
      <sz val="10"/>
      <color theme="1"/>
      <name val="Calibri"/>
      <family val="2"/>
      <charset val="238"/>
      <scheme val="minor"/>
    </font>
    <font>
      <sz val="12"/>
      <name val="Arial"/>
      <family val="2"/>
      <charset val="238"/>
    </font>
    <font>
      <b/>
      <sz val="12"/>
      <color theme="1"/>
      <name val="Calibri"/>
      <family val="2"/>
      <charset val="238"/>
      <scheme val="minor"/>
    </font>
    <font>
      <sz val="12"/>
      <color theme="1"/>
      <name val="Calibri"/>
      <family val="2"/>
      <charset val="238"/>
      <scheme val="minor"/>
    </font>
    <font>
      <sz val="10"/>
      <color theme="1"/>
      <name val="Calibri"/>
      <family val="2"/>
      <charset val="238"/>
    </font>
    <font>
      <sz val="11"/>
      <color rgb="FF000000"/>
      <name val="Calibri"/>
      <family val="2"/>
      <charset val="204"/>
    </font>
    <font>
      <sz val="11"/>
      <color rgb="FF000000"/>
      <name val="Calibri"/>
      <family val="2"/>
      <scheme val="minor"/>
    </font>
    <font>
      <b/>
      <sz val="11"/>
      <color rgb="FF000000"/>
      <name val="Calibri"/>
      <family val="2"/>
      <scheme val="minor"/>
    </font>
    <font>
      <sz val="10"/>
      <name val="MS Sans Serif"/>
      <family val="2"/>
      <charset val="238"/>
    </font>
    <font>
      <b/>
      <sz val="10"/>
      <name val="Calibri"/>
      <family val="2"/>
      <scheme val="minor"/>
    </font>
    <font>
      <sz val="12"/>
      <name val="Calibri"/>
      <family val="2"/>
      <charset val="238"/>
      <scheme val="minor"/>
    </font>
    <font>
      <b/>
      <sz val="11"/>
      <name val="Calibri"/>
      <family val="2"/>
      <charset val="238"/>
      <scheme val="minor"/>
    </font>
    <font>
      <vertAlign val="superscript"/>
      <sz val="10"/>
      <name val="Calibri"/>
      <family val="2"/>
      <charset val="238"/>
      <scheme val="minor"/>
    </font>
    <font>
      <b/>
      <sz val="10"/>
      <name val="Calibri"/>
      <family val="2"/>
      <charset val="238"/>
      <scheme val="minor"/>
    </font>
    <font>
      <sz val="10"/>
      <name val="Calibri"/>
      <family val="2"/>
      <charset val="238"/>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25">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bottom/>
      <diagonal/>
    </border>
    <border>
      <left style="dotted">
        <color indexed="64"/>
      </left>
      <right/>
      <top/>
      <bottom/>
      <diagonal/>
    </border>
    <border>
      <left style="medium">
        <color indexed="64"/>
      </left>
      <right style="dotted">
        <color indexed="64"/>
      </right>
      <top style="dotted">
        <color indexed="64"/>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thin">
        <color indexed="64"/>
      </right>
      <top style="medium">
        <color indexed="64"/>
      </top>
      <bottom style="medium">
        <color indexed="64"/>
      </bottom>
      <diagonal/>
    </border>
  </borders>
  <cellStyleXfs count="6">
    <xf numFmtId="0" fontId="0" fillId="0" borderId="0"/>
    <xf numFmtId="0" fontId="5" fillId="0" borderId="0"/>
    <xf numFmtId="165" fontId="5" fillId="0" borderId="0"/>
    <xf numFmtId="0" fontId="9" fillId="0" borderId="0"/>
    <xf numFmtId="0" fontId="13" fillId="0" borderId="0"/>
    <xf numFmtId="0" fontId="16" fillId="0" borderId="0"/>
  </cellStyleXfs>
  <cellXfs count="146">
    <xf numFmtId="0" fontId="0" fillId="0" borderId="0" xfId="0"/>
    <xf numFmtId="0" fontId="0" fillId="0" borderId="0" xfId="0" applyBorder="1"/>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3" fillId="0" borderId="0" xfId="0" applyFont="1" applyBorder="1" applyAlignment="1">
      <alignment horizontal="left" vertical="center" wrapText="1"/>
    </xf>
    <xf numFmtId="2" fontId="7" fillId="0" borderId="0" xfId="0" applyNumberFormat="1" applyFont="1" applyBorder="1" applyAlignment="1">
      <alignment horizontal="left" vertical="center" wrapText="1"/>
    </xf>
    <xf numFmtId="2" fontId="7" fillId="0" borderId="8" xfId="0" applyNumberFormat="1" applyFont="1" applyBorder="1" applyAlignment="1">
      <alignment horizontal="left" vertical="center" wrapText="1"/>
    </xf>
    <xf numFmtId="2" fontId="3" fillId="3" borderId="0" xfId="0" applyNumberFormat="1" applyFont="1" applyFill="1" applyBorder="1" applyAlignment="1">
      <alignment horizontal="left" vertical="center" wrapText="1"/>
    </xf>
    <xf numFmtId="2" fontId="6"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2" fontId="8"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0" fontId="7" fillId="0" borderId="0" xfId="0" applyNumberFormat="1" applyFont="1" applyFill="1" applyBorder="1" applyAlignment="1">
      <alignment horizontal="left" vertical="center" wrapText="1"/>
    </xf>
    <xf numFmtId="2" fontId="7"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2" fontId="8" fillId="0" borderId="0" xfId="0" applyNumberFormat="1"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Alignment="1">
      <alignment horizontal="left" vertical="center" wrapText="1"/>
    </xf>
    <xf numFmtId="2" fontId="3" fillId="3" borderId="0" xfId="0" applyNumberFormat="1" applyFont="1" applyFill="1" applyAlignment="1">
      <alignment horizontal="left" vertical="center" wrapText="1"/>
    </xf>
    <xf numFmtId="0" fontId="3" fillId="0" borderId="0" xfId="0" applyFont="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2" fontId="7" fillId="0" borderId="0" xfId="0" applyNumberFormat="1" applyFont="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164" fontId="7" fillId="0" borderId="0" xfId="0" applyNumberFormat="1" applyFont="1" applyBorder="1" applyAlignment="1">
      <alignment horizontal="left" vertical="center" wrapText="1"/>
    </xf>
    <xf numFmtId="164" fontId="8" fillId="0" borderId="0" xfId="0" applyNumberFormat="1" applyFont="1" applyBorder="1" applyAlignment="1">
      <alignment horizontal="left" vertical="center" wrapText="1"/>
    </xf>
    <xf numFmtId="164" fontId="7" fillId="0" borderId="0" xfId="0" applyNumberFormat="1" applyFont="1" applyFill="1" applyBorder="1" applyAlignment="1">
      <alignment horizontal="left" vertical="center" wrapText="1"/>
    </xf>
    <xf numFmtId="167" fontId="7" fillId="0" borderId="0" xfId="0" applyNumberFormat="1" applyFont="1" applyBorder="1" applyAlignment="1">
      <alignment horizontal="left" vertical="center" wrapText="1"/>
    </xf>
    <xf numFmtId="167" fontId="7" fillId="0" borderId="10" xfId="0" applyNumberFormat="1" applyFont="1" applyBorder="1" applyAlignment="1">
      <alignment horizontal="left" vertical="center" wrapText="1"/>
    </xf>
    <xf numFmtId="167" fontId="3" fillId="3" borderId="0" xfId="0" applyNumberFormat="1" applyFont="1" applyFill="1" applyBorder="1" applyAlignment="1">
      <alignment horizontal="left" vertical="center" wrapText="1"/>
    </xf>
    <xf numFmtId="167" fontId="8" fillId="0" borderId="0" xfId="0" applyNumberFormat="1" applyFont="1" applyBorder="1" applyAlignment="1">
      <alignment horizontal="left" vertical="center" wrapText="1"/>
    </xf>
    <xf numFmtId="167" fontId="7" fillId="0" borderId="0" xfId="0" applyNumberFormat="1" applyFont="1" applyFill="1" applyBorder="1" applyAlignment="1">
      <alignment horizontal="left" vertical="center" wrapText="1"/>
    </xf>
    <xf numFmtId="167" fontId="3" fillId="3" borderId="0" xfId="0" applyNumberFormat="1" applyFont="1" applyFill="1" applyAlignment="1">
      <alignment horizontal="left" vertical="center" wrapText="1"/>
    </xf>
    <xf numFmtId="167" fontId="7" fillId="0" borderId="0" xfId="0" applyNumberFormat="1" applyFont="1" applyAlignment="1">
      <alignment horizontal="left" vertical="center" wrapText="1"/>
    </xf>
    <xf numFmtId="0" fontId="6" fillId="0" borderId="0" xfId="0" applyFont="1" applyAlignment="1">
      <alignment horizontal="left" vertical="center" wrapText="1"/>
    </xf>
    <xf numFmtId="2" fontId="6" fillId="0" borderId="0" xfId="0" applyNumberFormat="1" applyFont="1" applyAlignment="1">
      <alignment horizontal="left" vertical="center" wrapText="1"/>
    </xf>
    <xf numFmtId="167" fontId="7" fillId="0" borderId="8" xfId="0" applyNumberFormat="1" applyFont="1" applyBorder="1" applyAlignment="1">
      <alignment horizontal="left" vertical="center" wrapText="1"/>
    </xf>
    <xf numFmtId="167" fontId="8" fillId="0" borderId="0" xfId="0" applyNumberFormat="1" applyFont="1" applyFill="1" applyBorder="1" applyAlignment="1">
      <alignment horizontal="left" vertical="center" wrapText="1"/>
    </xf>
    <xf numFmtId="0" fontId="17" fillId="0" borderId="23" xfId="4" applyFont="1" applyBorder="1" applyAlignment="1">
      <alignment horizontal="left" vertical="top"/>
    </xf>
    <xf numFmtId="0" fontId="17" fillId="0" borderId="15" xfId="4" applyFont="1" applyBorder="1" applyAlignment="1">
      <alignment horizontal="left" vertical="top"/>
    </xf>
    <xf numFmtId="0" fontId="15" fillId="0" borderId="0" xfId="4" applyFont="1" applyAlignment="1" applyProtection="1">
      <alignment horizontal="left" vertical="top" wrapText="1"/>
      <protection locked="0"/>
    </xf>
    <xf numFmtId="0" fontId="14" fillId="0" borderId="0" xfId="4" applyFont="1" applyAlignment="1" applyProtection="1">
      <alignment horizontal="left" vertical="top" wrapText="1"/>
      <protection locked="0"/>
    </xf>
    <xf numFmtId="169" fontId="6" fillId="0" borderId="19" xfId="4" applyNumberFormat="1" applyFont="1" applyBorder="1" applyAlignment="1">
      <alignment horizontal="left" vertical="top"/>
    </xf>
    <xf numFmtId="168" fontId="6" fillId="0" borderId="19" xfId="4" applyNumberFormat="1" applyFont="1" applyBorder="1" applyAlignment="1">
      <alignment horizontal="left" vertical="top"/>
    </xf>
    <xf numFmtId="0" fontId="15" fillId="0" borderId="11" xfId="4" applyFont="1" applyBorder="1" applyAlignment="1" applyProtection="1">
      <alignment horizontal="left" vertical="top" wrapText="1"/>
      <protection locked="0"/>
    </xf>
    <xf numFmtId="169" fontId="6" fillId="0" borderId="12" xfId="4" applyNumberFormat="1" applyFont="1" applyBorder="1" applyAlignment="1">
      <alignment horizontal="left" vertical="top"/>
    </xf>
    <xf numFmtId="168" fontId="6" fillId="0" borderId="12" xfId="4" applyNumberFormat="1" applyFont="1" applyBorder="1" applyAlignment="1">
      <alignment horizontal="left" vertical="top"/>
    </xf>
    <xf numFmtId="164" fontId="6" fillId="0" borderId="0" xfId="0" applyNumberFormat="1" applyFont="1" applyAlignment="1">
      <alignment horizontal="left" vertical="center" wrapText="1"/>
    </xf>
    <xf numFmtId="167" fontId="6" fillId="0" borderId="0" xfId="0" applyNumberFormat="1" applyFont="1" applyAlignment="1">
      <alignment horizontal="left" vertical="center" wrapText="1"/>
    </xf>
    <xf numFmtId="0" fontId="6" fillId="0" borderId="8" xfId="0" applyFont="1" applyBorder="1" applyAlignment="1">
      <alignment horizontal="left" vertical="center" wrapText="1"/>
    </xf>
    <xf numFmtId="2" fontId="6" fillId="0" borderId="8" xfId="0" applyNumberFormat="1" applyFont="1" applyBorder="1" applyAlignment="1">
      <alignment horizontal="left" vertical="center" wrapText="1"/>
    </xf>
    <xf numFmtId="167" fontId="6" fillId="0" borderId="8" xfId="0" applyNumberFormat="1" applyFont="1" applyBorder="1" applyAlignment="1">
      <alignment horizontal="left" vertical="center" wrapText="1"/>
    </xf>
    <xf numFmtId="167" fontId="6" fillId="0" borderId="10" xfId="0" applyNumberFormat="1" applyFont="1" applyBorder="1" applyAlignment="1">
      <alignment horizontal="left" vertical="center" wrapText="1"/>
    </xf>
    <xf numFmtId="0" fontId="19" fillId="3" borderId="0" xfId="0" applyFont="1" applyFill="1" applyAlignment="1">
      <alignment horizontal="left" vertical="center" wrapText="1"/>
    </xf>
    <xf numFmtId="2" fontId="19" fillId="3" borderId="0" xfId="0" applyNumberFormat="1" applyFont="1" applyFill="1" applyAlignment="1">
      <alignment horizontal="left" vertical="center" wrapText="1"/>
    </xf>
    <xf numFmtId="167" fontId="19" fillId="3" borderId="0" xfId="0" applyNumberFormat="1" applyFont="1" applyFill="1" applyAlignment="1">
      <alignment horizontal="left" vertical="center" wrapText="1"/>
    </xf>
    <xf numFmtId="0" fontId="19" fillId="0" borderId="0" xfId="0" applyFont="1" applyAlignment="1">
      <alignment horizontal="left" vertical="center" wrapText="1"/>
    </xf>
    <xf numFmtId="49" fontId="6" fillId="0" borderId="0" xfId="0" applyNumberFormat="1" applyFont="1" applyAlignment="1">
      <alignment horizontal="left" vertical="center" wrapText="1"/>
    </xf>
    <xf numFmtId="164" fontId="21" fillId="0" borderId="0" xfId="0" applyNumberFormat="1" applyFont="1" applyAlignment="1">
      <alignment horizontal="left" vertical="center" wrapText="1"/>
    </xf>
    <xf numFmtId="0" fontId="21" fillId="0" borderId="0" xfId="0" applyFont="1" applyAlignment="1">
      <alignment horizontal="left" vertical="center" wrapText="1"/>
    </xf>
    <xf numFmtId="2" fontId="21" fillId="0" borderId="0" xfId="0" applyNumberFormat="1" applyFont="1" applyAlignment="1">
      <alignment horizontal="left" vertical="center" wrapText="1"/>
    </xf>
    <xf numFmtId="167" fontId="21" fillId="0" borderId="0" xfId="0" applyNumberFormat="1" applyFont="1" applyAlignment="1">
      <alignment horizontal="left" vertical="center" wrapText="1"/>
    </xf>
    <xf numFmtId="1" fontId="6" fillId="0" borderId="0" xfId="0" applyNumberFormat="1" applyFont="1" applyAlignment="1">
      <alignment horizontal="left" vertical="center" wrapText="1"/>
    </xf>
    <xf numFmtId="167" fontId="0" fillId="0" borderId="0" xfId="0" applyNumberFormat="1" applyBorder="1"/>
    <xf numFmtId="167" fontId="0" fillId="0" borderId="1" xfId="0" applyNumberFormat="1" applyBorder="1"/>
    <xf numFmtId="0" fontId="3" fillId="0" borderId="0" xfId="0" applyFont="1"/>
    <xf numFmtId="167" fontId="3" fillId="0" borderId="0" xfId="0" applyNumberFormat="1" applyFont="1" applyBorder="1"/>
    <xf numFmtId="0" fontId="3" fillId="0" borderId="0" xfId="0" applyFont="1" applyBorder="1"/>
    <xf numFmtId="49" fontId="6" fillId="0" borderId="0" xfId="0" applyNumberFormat="1" applyFont="1" applyBorder="1" applyAlignment="1">
      <alignment horizontal="left" vertical="center" wrapText="1"/>
    </xf>
    <xf numFmtId="0" fontId="19"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0" xfId="0" applyFont="1" applyFill="1" applyAlignment="1">
      <alignment horizontal="left" vertical="center" wrapText="1"/>
    </xf>
    <xf numFmtId="0" fontId="19" fillId="3" borderId="0" xfId="0" applyFont="1" applyFill="1" applyAlignment="1">
      <alignment horizontal="left" vertical="center" wrapText="1"/>
    </xf>
    <xf numFmtId="164" fontId="6" fillId="0" borderId="0" xfId="0" applyNumberFormat="1" applyFont="1" applyBorder="1" applyAlignment="1">
      <alignment horizontal="left" vertical="center" wrapText="1"/>
    </xf>
    <xf numFmtId="0" fontId="6" fillId="0" borderId="10" xfId="0" applyFont="1" applyBorder="1" applyAlignment="1">
      <alignment horizontal="left" vertical="center" wrapText="1"/>
    </xf>
    <xf numFmtId="2" fontId="19" fillId="3" borderId="0" xfId="0" applyNumberFormat="1" applyFont="1" applyFill="1" applyBorder="1" applyAlignment="1">
      <alignment horizontal="left" vertical="center" wrapText="1"/>
    </xf>
    <xf numFmtId="0" fontId="19" fillId="0" borderId="0" xfId="0" applyFont="1" applyBorder="1" applyAlignment="1">
      <alignment horizontal="left" vertical="center" wrapText="1"/>
    </xf>
    <xf numFmtId="166" fontId="6" fillId="0" borderId="0" xfId="0" applyNumberFormat="1" applyFont="1" applyBorder="1" applyAlignment="1">
      <alignment horizontal="left" vertical="center" wrapText="1"/>
    </xf>
    <xf numFmtId="164" fontId="21" fillId="0" borderId="0" xfId="0" applyNumberFormat="1" applyFont="1" applyBorder="1" applyAlignment="1">
      <alignment horizontal="left" vertical="center" wrapText="1"/>
    </xf>
    <xf numFmtId="0" fontId="21" fillId="0" borderId="0" xfId="0" applyFont="1" applyBorder="1" applyAlignment="1">
      <alignment horizontal="left" vertical="center" wrapText="1"/>
    </xf>
    <xf numFmtId="2" fontId="21" fillId="0" borderId="0" xfId="0" applyNumberFormat="1" applyFont="1" applyBorder="1" applyAlignment="1">
      <alignment horizontal="left" vertical="center" wrapText="1"/>
    </xf>
    <xf numFmtId="166" fontId="21" fillId="0" borderId="0" xfId="0" applyNumberFormat="1" applyFont="1" applyBorder="1" applyAlignment="1">
      <alignment horizontal="left" vertical="center" wrapText="1"/>
    </xf>
    <xf numFmtId="164" fontId="6" fillId="0" borderId="0" xfId="0" applyNumberFormat="1" applyFont="1" applyFill="1" applyBorder="1" applyAlignment="1">
      <alignment horizontal="left" vertical="center" wrapText="1"/>
    </xf>
    <xf numFmtId="2" fontId="6" fillId="0" borderId="0" xfId="0" applyNumberFormat="1" applyFont="1" applyFill="1" applyBorder="1" applyAlignment="1">
      <alignment horizontal="left" vertical="center" wrapText="1"/>
    </xf>
    <xf numFmtId="166" fontId="6" fillId="0" borderId="0" xfId="0" applyNumberFormat="1" applyFont="1" applyFill="1" applyBorder="1" applyAlignment="1">
      <alignment horizontal="left" vertical="center" wrapText="1"/>
    </xf>
    <xf numFmtId="164" fontId="21" fillId="0" borderId="0" xfId="0" applyNumberFormat="1" applyFont="1" applyFill="1" applyBorder="1" applyAlignment="1">
      <alignment horizontal="left" vertical="center" wrapText="1"/>
    </xf>
    <xf numFmtId="0" fontId="21" fillId="0" borderId="0" xfId="0" applyFont="1" applyFill="1" applyBorder="1" applyAlignment="1">
      <alignment horizontal="left" vertical="center" wrapText="1"/>
    </xf>
    <xf numFmtId="2" fontId="21" fillId="0" borderId="0" xfId="0" applyNumberFormat="1" applyFont="1" applyFill="1" applyBorder="1" applyAlignment="1">
      <alignment horizontal="left" vertical="center" wrapText="1"/>
    </xf>
    <xf numFmtId="166" fontId="21" fillId="0" borderId="0" xfId="0" applyNumberFormat="1" applyFont="1" applyFill="1" applyBorder="1" applyAlignment="1">
      <alignment horizontal="left" vertical="center" wrapText="1"/>
    </xf>
    <xf numFmtId="166" fontId="6" fillId="0" borderId="0" xfId="0" applyNumberFormat="1" applyFont="1" applyAlignment="1">
      <alignment horizontal="left" vertical="center" wrapText="1"/>
    </xf>
    <xf numFmtId="166" fontId="21" fillId="0" borderId="0" xfId="0" applyNumberFormat="1" applyFont="1" applyAlignment="1">
      <alignment horizontal="left" vertical="center" wrapText="1"/>
    </xf>
    <xf numFmtId="167" fontId="19" fillId="3" borderId="0" xfId="0" applyNumberFormat="1" applyFont="1" applyFill="1" applyBorder="1" applyAlignment="1">
      <alignment horizontal="left" vertical="center" wrapText="1"/>
    </xf>
    <xf numFmtId="167" fontId="6" fillId="0" borderId="0" xfId="0" applyNumberFormat="1" applyFont="1" applyBorder="1" applyAlignment="1">
      <alignment horizontal="left" vertical="center" wrapText="1"/>
    </xf>
    <xf numFmtId="167" fontId="21" fillId="0" borderId="0" xfId="0" applyNumberFormat="1" applyFont="1" applyFill="1" applyBorder="1" applyAlignment="1">
      <alignment horizontal="left" vertical="center" wrapText="1"/>
    </xf>
    <xf numFmtId="167" fontId="21" fillId="0" borderId="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19" fillId="3" borderId="0" xfId="0" applyFont="1" applyFill="1" applyBorder="1" applyAlignment="1">
      <alignment horizontal="left" vertical="center" wrapText="1"/>
    </xf>
    <xf numFmtId="0" fontId="14" fillId="0" borderId="0" xfId="4" applyFont="1" applyAlignment="1" applyProtection="1">
      <alignment horizontal="left" vertical="top" wrapText="1"/>
      <protection locked="0"/>
    </xf>
    <xf numFmtId="0" fontId="6" fillId="0" borderId="14" xfId="5" applyFont="1" applyBorder="1" applyAlignment="1">
      <alignment horizontal="left" vertical="top" wrapText="1"/>
    </xf>
    <xf numFmtId="0" fontId="6" fillId="0" borderId="0" xfId="5" applyFont="1" applyAlignment="1">
      <alignment horizontal="left" vertical="top" wrapText="1"/>
    </xf>
    <xf numFmtId="0" fontId="6" fillId="0" borderId="13" xfId="5" applyFont="1" applyBorder="1" applyAlignment="1">
      <alignment horizontal="left" vertical="top" wrapText="1"/>
    </xf>
    <xf numFmtId="0" fontId="6" fillId="0" borderId="22" xfId="5" applyFont="1" applyBorder="1" applyAlignment="1">
      <alignment horizontal="left" vertical="top" wrapText="1"/>
    </xf>
    <xf numFmtId="0" fontId="6" fillId="0" borderId="21" xfId="5" applyFont="1" applyBorder="1" applyAlignment="1">
      <alignment horizontal="left" vertical="top" wrapText="1"/>
    </xf>
    <xf numFmtId="0" fontId="6" fillId="0" borderId="20" xfId="5" applyFont="1" applyBorder="1" applyAlignment="1">
      <alignment horizontal="left" vertical="top" wrapText="1"/>
    </xf>
    <xf numFmtId="0" fontId="6" fillId="0" borderId="18" xfId="5" applyFont="1" applyBorder="1" applyAlignment="1">
      <alignment horizontal="left" vertical="top" wrapText="1"/>
    </xf>
    <xf numFmtId="0" fontId="6" fillId="0" borderId="17" xfId="5" applyFont="1" applyBorder="1" applyAlignment="1">
      <alignment horizontal="left" vertical="top" wrapText="1"/>
    </xf>
    <xf numFmtId="0" fontId="6" fillId="0" borderId="16" xfId="5" applyFont="1" applyBorder="1" applyAlignment="1">
      <alignment horizontal="left" vertical="top" wrapText="1"/>
    </xf>
    <xf numFmtId="164" fontId="3" fillId="3" borderId="0" xfId="0" applyNumberFormat="1" applyFont="1" applyFill="1" applyAlignment="1">
      <alignment horizontal="left" vertical="center" wrapText="1"/>
    </xf>
    <xf numFmtId="164" fontId="3" fillId="3" borderId="0" xfId="0" applyNumberFormat="1" applyFont="1" applyFill="1" applyBorder="1" applyAlignment="1">
      <alignment horizontal="left" vertical="center" wrapText="1"/>
    </xf>
    <xf numFmtId="0" fontId="3" fillId="3" borderId="0" xfId="0" applyFont="1" applyFill="1" applyBorder="1" applyAlignment="1">
      <alignment horizontal="left"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7" fillId="0" borderId="9"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3" fillId="3" borderId="0" xfId="0" applyNumberFormat="1" applyFont="1" applyFill="1" applyBorder="1" applyAlignment="1">
      <alignment horizontal="left" vertical="center" wrapText="1"/>
    </xf>
    <xf numFmtId="0" fontId="19" fillId="3" borderId="0" xfId="0" applyFont="1" applyFill="1" applyBorder="1" applyAlignment="1">
      <alignment horizontal="left" vertical="center" wrapText="1"/>
    </xf>
    <xf numFmtId="164" fontId="19" fillId="3" borderId="0" xfId="0" applyNumberFormat="1" applyFont="1" applyFill="1" applyBorder="1" applyAlignment="1">
      <alignment horizontal="left" vertical="center" wrapText="1"/>
    </xf>
    <xf numFmtId="164" fontId="19" fillId="3" borderId="0" xfId="0" applyNumberFormat="1" applyFont="1" applyFill="1" applyAlignment="1">
      <alignment horizontal="left" vertical="center" wrapText="1"/>
    </xf>
    <xf numFmtId="0" fontId="18" fillId="3" borderId="9"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164" fontId="6" fillId="0" borderId="9" xfId="0" applyNumberFormat="1" applyFont="1" applyBorder="1" applyAlignment="1">
      <alignment horizontal="left" vertical="center" wrapText="1"/>
    </xf>
    <xf numFmtId="164" fontId="6" fillId="0" borderId="8" xfId="0" applyNumberFormat="1" applyFont="1" applyBorder="1" applyAlignment="1">
      <alignment horizontal="left" vertical="center" wrapText="1"/>
    </xf>
    <xf numFmtId="0" fontId="19" fillId="3" borderId="0" xfId="0" applyFont="1" applyFill="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6" fillId="0" borderId="2"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24" xfId="0" applyNumberFormat="1" applyFont="1" applyBorder="1" applyAlignment="1">
      <alignment horizontal="center" vertical="center" wrapText="1"/>
    </xf>
  </cellXfs>
  <cellStyles count="6">
    <cellStyle name="Normal" xfId="0" builtinId="0"/>
    <cellStyle name="Normal 2" xfId="1" xr:uid="{00000000-0005-0000-0000-000003000000}"/>
    <cellStyle name="Normal 2 2" xfId="2" xr:uid="{00000000-0005-0000-0000-000004000000}"/>
    <cellStyle name="Normal 3" xfId="3" xr:uid="{00000000-0005-0000-0000-000005000000}"/>
    <cellStyle name="Normal 4" xfId="4" xr:uid="{130E3F8C-1A82-4156-82D5-A2B5C829F473}"/>
    <cellStyle name="Obično 3" xfId="5" xr:uid="{4DF8E4F8-FC46-4A70-AA08-9741C52D2E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920C-236C-4751-9D1A-C8D8D17A5640}">
  <sheetPr>
    <tabColor rgb="FF00B050"/>
  </sheetPr>
  <dimension ref="A2:G28"/>
  <sheetViews>
    <sheetView view="pageBreakPreview" zoomScale="90" zoomScaleNormal="90" zoomScaleSheetLayoutView="90" workbookViewId="0">
      <selection activeCell="B28" sqref="B28:D28"/>
    </sheetView>
  </sheetViews>
  <sheetFormatPr defaultColWidth="9.140625" defaultRowHeight="15" x14ac:dyDescent="0.25"/>
  <cols>
    <col min="1" max="1" width="8" style="46" customWidth="1"/>
    <col min="2" max="2" width="47.7109375" style="47" customWidth="1"/>
    <col min="3" max="3" width="13" style="47" customWidth="1"/>
    <col min="4" max="4" width="9.7109375" style="47" customWidth="1"/>
    <col min="5" max="5" width="12" style="47" customWidth="1"/>
    <col min="6" max="6" width="35.7109375" style="47" customWidth="1"/>
    <col min="7" max="7" width="5.7109375" style="47" customWidth="1"/>
    <col min="8" max="16384" width="9.140625" style="47"/>
  </cols>
  <sheetData>
    <row r="2" spans="2:4" x14ac:dyDescent="0.25">
      <c r="B2" s="46" t="s">
        <v>144</v>
      </c>
    </row>
    <row r="4" spans="2:4" ht="60" customHeight="1" x14ac:dyDescent="0.25">
      <c r="B4" s="103" t="s">
        <v>143</v>
      </c>
      <c r="C4" s="103"/>
      <c r="D4" s="103"/>
    </row>
    <row r="5" spans="2:4" ht="114.75" customHeight="1" x14ac:dyDescent="0.25">
      <c r="B5" s="103" t="s">
        <v>142</v>
      </c>
      <c r="C5" s="103"/>
      <c r="D5" s="103"/>
    </row>
    <row r="6" spans="2:4" ht="116.25" customHeight="1" x14ac:dyDescent="0.25">
      <c r="B6" s="103" t="s">
        <v>141</v>
      </c>
      <c r="C6" s="103"/>
      <c r="D6" s="103"/>
    </row>
    <row r="7" spans="2:4" ht="81" customHeight="1" x14ac:dyDescent="0.25">
      <c r="B7" s="103" t="s">
        <v>140</v>
      </c>
      <c r="C7" s="103"/>
      <c r="D7" s="103"/>
    </row>
    <row r="8" spans="2:4" ht="96.75" customHeight="1" x14ac:dyDescent="0.25">
      <c r="B8" s="103" t="s">
        <v>139</v>
      </c>
      <c r="C8" s="103"/>
      <c r="D8" s="103"/>
    </row>
    <row r="9" spans="2:4" ht="78.75" customHeight="1" x14ac:dyDescent="0.25">
      <c r="B9" s="103" t="s">
        <v>138</v>
      </c>
      <c r="C9" s="103"/>
      <c r="D9" s="103"/>
    </row>
    <row r="10" spans="2:4" ht="88.5" customHeight="1" x14ac:dyDescent="0.25">
      <c r="B10" s="103" t="s">
        <v>137</v>
      </c>
      <c r="C10" s="103"/>
      <c r="D10" s="103"/>
    </row>
    <row r="11" spans="2:4" ht="89.25" customHeight="1" x14ac:dyDescent="0.25">
      <c r="B11" s="103" t="s">
        <v>136</v>
      </c>
      <c r="C11" s="103"/>
      <c r="D11" s="103"/>
    </row>
    <row r="12" spans="2:4" ht="69.75" customHeight="1" x14ac:dyDescent="0.25">
      <c r="B12" s="103" t="s">
        <v>135</v>
      </c>
      <c r="C12" s="103"/>
      <c r="D12" s="103"/>
    </row>
    <row r="13" spans="2:4" ht="144" customHeight="1" x14ac:dyDescent="0.25">
      <c r="B13" s="103" t="s">
        <v>134</v>
      </c>
      <c r="C13" s="103"/>
      <c r="D13" s="103"/>
    </row>
    <row r="14" spans="2:4" ht="117" customHeight="1" x14ac:dyDescent="0.25">
      <c r="B14" s="103" t="s">
        <v>133</v>
      </c>
      <c r="C14" s="103"/>
      <c r="D14" s="103"/>
    </row>
    <row r="15" spans="2:4" ht="85.5" customHeight="1" x14ac:dyDescent="0.25">
      <c r="B15" s="103" t="s">
        <v>132</v>
      </c>
      <c r="C15" s="103"/>
      <c r="D15" s="103"/>
    </row>
    <row r="16" spans="2:4" ht="207" customHeight="1" x14ac:dyDescent="0.25">
      <c r="B16" s="103" t="s">
        <v>131</v>
      </c>
      <c r="C16" s="103"/>
      <c r="D16" s="103"/>
    </row>
    <row r="17" spans="1:7" ht="108.75" customHeight="1" x14ac:dyDescent="0.25">
      <c r="B17" s="103" t="s">
        <v>130</v>
      </c>
      <c r="C17" s="103"/>
      <c r="D17" s="103"/>
    </row>
    <row r="18" spans="1:7" ht="174" customHeight="1" x14ac:dyDescent="0.25">
      <c r="B18" s="103" t="s">
        <v>146</v>
      </c>
      <c r="C18" s="103"/>
      <c r="D18" s="103"/>
    </row>
    <row r="19" spans="1:7" ht="267" customHeight="1" x14ac:dyDescent="0.25">
      <c r="B19" s="103" t="s">
        <v>145</v>
      </c>
      <c r="C19" s="103"/>
      <c r="D19" s="103"/>
    </row>
    <row r="20" spans="1:7" ht="282" customHeight="1" x14ac:dyDescent="0.25">
      <c r="B20" s="103" t="s">
        <v>129</v>
      </c>
      <c r="C20" s="103"/>
      <c r="D20" s="103"/>
    </row>
    <row r="21" spans="1:7" ht="123.75" customHeight="1" x14ac:dyDescent="0.25">
      <c r="B21" s="103" t="s">
        <v>148</v>
      </c>
      <c r="C21" s="103"/>
      <c r="D21" s="103"/>
    </row>
    <row r="22" spans="1:7" ht="348" customHeight="1" x14ac:dyDescent="0.25">
      <c r="B22" s="103" t="s">
        <v>147</v>
      </c>
      <c r="C22" s="103"/>
      <c r="D22" s="103"/>
    </row>
    <row r="23" spans="1:7" ht="95.25" customHeight="1" x14ac:dyDescent="0.25">
      <c r="B23" s="103" t="s">
        <v>128</v>
      </c>
      <c r="C23" s="103"/>
      <c r="D23" s="103"/>
    </row>
    <row r="24" spans="1:7" ht="169.5" customHeight="1" x14ac:dyDescent="0.25">
      <c r="B24" s="103" t="s">
        <v>127</v>
      </c>
      <c r="C24" s="103"/>
      <c r="D24" s="103"/>
    </row>
    <row r="25" spans="1:7" s="46" customFormat="1" ht="66" customHeight="1" x14ac:dyDescent="0.25">
      <c r="A25" s="44"/>
      <c r="B25" s="107" t="s">
        <v>126</v>
      </c>
      <c r="C25" s="108"/>
      <c r="D25" s="109"/>
      <c r="E25" s="48"/>
      <c r="F25" s="49"/>
      <c r="G25" s="50"/>
    </row>
    <row r="26" spans="1:7" s="46" customFormat="1" ht="177.75" customHeight="1" x14ac:dyDescent="0.25">
      <c r="A26" s="45"/>
      <c r="B26" s="110" t="s">
        <v>125</v>
      </c>
      <c r="C26" s="111"/>
      <c r="D26" s="112"/>
      <c r="E26" s="51"/>
      <c r="F26" s="52"/>
      <c r="G26" s="50"/>
    </row>
    <row r="27" spans="1:7" s="46" customFormat="1" ht="243" customHeight="1" x14ac:dyDescent="0.25">
      <c r="A27" s="45"/>
      <c r="B27" s="104" t="s">
        <v>149</v>
      </c>
      <c r="C27" s="105"/>
      <c r="D27" s="106"/>
      <c r="E27" s="51"/>
      <c r="F27" s="52"/>
      <c r="G27" s="50"/>
    </row>
    <row r="28" spans="1:7" s="46" customFormat="1" ht="328.5" customHeight="1" x14ac:dyDescent="0.25">
      <c r="A28" s="45"/>
      <c r="B28" s="104" t="s">
        <v>124</v>
      </c>
      <c r="C28" s="105"/>
      <c r="D28" s="106"/>
      <c r="E28" s="51"/>
      <c r="F28" s="52"/>
      <c r="G28" s="50"/>
    </row>
  </sheetData>
  <sheetProtection formatCells="0"/>
  <mergeCells count="25">
    <mergeCell ref="B13:D13"/>
    <mergeCell ref="B28:D28"/>
    <mergeCell ref="B15:D15"/>
    <mergeCell ref="B16:D16"/>
    <mergeCell ref="B17:D17"/>
    <mergeCell ref="B19:D19"/>
    <mergeCell ref="B20:D20"/>
    <mergeCell ref="B22:D22"/>
    <mergeCell ref="B23:D23"/>
    <mergeCell ref="B24:D24"/>
    <mergeCell ref="B14:D14"/>
    <mergeCell ref="B25:D25"/>
    <mergeCell ref="B26:D26"/>
    <mergeCell ref="B27:D27"/>
    <mergeCell ref="B18:D18"/>
    <mergeCell ref="B21:D21"/>
    <mergeCell ref="B9:D9"/>
    <mergeCell ref="B10:D10"/>
    <mergeCell ref="B11:D11"/>
    <mergeCell ref="B12:D12"/>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96" orientation="portrait" r:id="rId1"/>
  <headerFooter>
    <oddHeader>&amp;L&amp;K000000DJEČJI VRTIĆ GRUDA - REKONSTRUKCIJA I DOGRADNJA
NAPOMENE UZ TROŠKOVNIK&amp;R&amp;G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3D194-9191-47F3-8C75-BF9553D002D7}">
  <dimension ref="A1:G413"/>
  <sheetViews>
    <sheetView tabSelected="1" view="pageBreakPreview" topLeftCell="A138" zoomScaleNormal="125" zoomScaleSheetLayoutView="100" workbookViewId="0">
      <selection activeCell="C142" sqref="C142"/>
    </sheetView>
  </sheetViews>
  <sheetFormatPr defaultColWidth="9.140625" defaultRowHeight="12.75" x14ac:dyDescent="0.25"/>
  <cols>
    <col min="1" max="2" width="6" style="12" bestFit="1" customWidth="1"/>
    <col min="3" max="3" width="33.28515625" style="3" customWidth="1"/>
    <col min="4" max="4" width="8.7109375" style="3" customWidth="1"/>
    <col min="5" max="5" width="9.85546875" style="6" customWidth="1"/>
    <col min="6" max="6" width="9.42578125" style="33" customWidth="1"/>
    <col min="7" max="7" width="17.7109375" style="33" bestFit="1" customWidth="1"/>
    <col min="8" max="16384" width="9.140625" style="3"/>
  </cols>
  <sheetData>
    <row r="1" spans="1:7" ht="16.5" customHeight="1" thickBot="1" x14ac:dyDescent="0.3">
      <c r="A1" s="116" t="s">
        <v>38</v>
      </c>
      <c r="B1" s="117"/>
      <c r="C1" s="117"/>
      <c r="D1" s="117"/>
      <c r="E1" s="117"/>
      <c r="F1" s="117"/>
      <c r="G1" s="118"/>
    </row>
    <row r="2" spans="1:7" ht="16.5" customHeight="1" thickBot="1" x14ac:dyDescent="0.3">
      <c r="A2" s="119" t="s">
        <v>39</v>
      </c>
      <c r="B2" s="120"/>
      <c r="C2" s="120"/>
      <c r="D2" s="120"/>
      <c r="E2" s="120"/>
      <c r="F2" s="120"/>
      <c r="G2" s="121"/>
    </row>
    <row r="3" spans="1:7" ht="13.5" thickBot="1" x14ac:dyDescent="0.3"/>
    <row r="4" spans="1:7" ht="26.25" thickBot="1" x14ac:dyDescent="0.3">
      <c r="A4" s="122" t="s">
        <v>0</v>
      </c>
      <c r="B4" s="123"/>
      <c r="C4" s="4" t="s">
        <v>1</v>
      </c>
      <c r="D4" s="4" t="s">
        <v>2</v>
      </c>
      <c r="E4" s="7" t="s">
        <v>3</v>
      </c>
      <c r="F4" s="42" t="s">
        <v>4</v>
      </c>
      <c r="G4" s="34" t="s">
        <v>5</v>
      </c>
    </row>
    <row r="6" spans="1:7" s="5" customFormat="1" ht="30" x14ac:dyDescent="0.25">
      <c r="A6" s="124">
        <v>1</v>
      </c>
      <c r="B6" s="124"/>
      <c r="C6" s="75" t="s">
        <v>212</v>
      </c>
      <c r="D6" s="76"/>
      <c r="E6" s="8"/>
      <c r="F6" s="35"/>
      <c r="G6" s="35"/>
    </row>
    <row r="8" spans="1:7" ht="38.25" x14ac:dyDescent="0.25">
      <c r="A8" s="30">
        <v>1</v>
      </c>
      <c r="B8" s="30">
        <v>1</v>
      </c>
      <c r="C8" s="74" t="s">
        <v>214</v>
      </c>
    </row>
    <row r="9" spans="1:7" x14ac:dyDescent="0.25">
      <c r="A9" s="30"/>
      <c r="B9" s="30"/>
      <c r="C9" s="3" t="s">
        <v>40</v>
      </c>
    </row>
    <row r="10" spans="1:7" x14ac:dyDescent="0.25">
      <c r="A10" s="30"/>
      <c r="B10" s="30"/>
      <c r="C10" s="3" t="s">
        <v>213</v>
      </c>
    </row>
    <row r="11" spans="1:7" x14ac:dyDescent="0.25">
      <c r="A11" s="30"/>
      <c r="B11" s="30"/>
      <c r="D11" s="3" t="s">
        <v>59</v>
      </c>
      <c r="E11" s="6">
        <f>8*9</f>
        <v>72</v>
      </c>
      <c r="G11" s="33">
        <f>F10*E11</f>
        <v>0</v>
      </c>
    </row>
    <row r="12" spans="1:7" x14ac:dyDescent="0.25">
      <c r="A12" s="30"/>
      <c r="B12" s="30"/>
      <c r="E12" s="9"/>
    </row>
    <row r="13" spans="1:7" ht="127.5" x14ac:dyDescent="0.25">
      <c r="A13" s="30">
        <v>1</v>
      </c>
      <c r="B13" s="30">
        <f>B8+1</f>
        <v>2</v>
      </c>
      <c r="C13" s="28" t="s">
        <v>215</v>
      </c>
    </row>
    <row r="14" spans="1:7" x14ac:dyDescent="0.25">
      <c r="A14" s="30"/>
      <c r="B14" s="30"/>
      <c r="C14" s="3" t="s">
        <v>41</v>
      </c>
    </row>
    <row r="15" spans="1:7" x14ac:dyDescent="0.25">
      <c r="A15" s="30"/>
      <c r="B15" s="30"/>
      <c r="D15" s="3" t="s">
        <v>42</v>
      </c>
      <c r="E15" s="6">
        <f>19.9*(1.7*2+1.75+1.85*2+1.9+1.95+2+2.05)</f>
        <v>333.32499999999999</v>
      </c>
      <c r="G15" s="33">
        <f>F15*E15</f>
        <v>0</v>
      </c>
    </row>
    <row r="16" spans="1:7" x14ac:dyDescent="0.25">
      <c r="A16" s="30"/>
      <c r="B16" s="30"/>
    </row>
    <row r="17" spans="1:7" ht="38.25" x14ac:dyDescent="0.25">
      <c r="A17" s="30">
        <v>1</v>
      </c>
      <c r="B17" s="30">
        <f>B13+1</f>
        <v>3</v>
      </c>
      <c r="C17" s="28" t="s">
        <v>216</v>
      </c>
    </row>
    <row r="18" spans="1:7" x14ac:dyDescent="0.25">
      <c r="A18" s="30"/>
      <c r="B18" s="30"/>
      <c r="C18" s="3" t="s">
        <v>41</v>
      </c>
    </row>
    <row r="19" spans="1:7" x14ac:dyDescent="0.25">
      <c r="A19" s="30"/>
      <c r="B19" s="30"/>
      <c r="D19" s="3" t="s">
        <v>42</v>
      </c>
      <c r="E19" s="6">
        <f>10.6*2*24.15</f>
        <v>511.97999999999996</v>
      </c>
      <c r="G19" s="33">
        <f>F19*E19</f>
        <v>0</v>
      </c>
    </row>
    <row r="20" spans="1:7" x14ac:dyDescent="0.25">
      <c r="A20" s="30"/>
      <c r="B20" s="30"/>
    </row>
    <row r="21" spans="1:7" ht="25.5" x14ac:dyDescent="0.25">
      <c r="A21" s="30">
        <v>1</v>
      </c>
      <c r="B21" s="30">
        <f>B17+1</f>
        <v>4</v>
      </c>
      <c r="C21" s="28" t="s">
        <v>43</v>
      </c>
    </row>
    <row r="22" spans="1:7" x14ac:dyDescent="0.25">
      <c r="A22" s="30"/>
      <c r="B22" s="30"/>
      <c r="C22" s="3" t="s">
        <v>44</v>
      </c>
    </row>
    <row r="23" spans="1:7" x14ac:dyDescent="0.25">
      <c r="A23" s="30"/>
      <c r="B23" s="30"/>
      <c r="D23" s="3" t="s">
        <v>45</v>
      </c>
      <c r="E23" s="9">
        <f>1.5*24.5</f>
        <v>36.75</v>
      </c>
      <c r="G23" s="33">
        <f>F23*E23</f>
        <v>0</v>
      </c>
    </row>
    <row r="24" spans="1:7" x14ac:dyDescent="0.25">
      <c r="A24" s="30"/>
      <c r="B24" s="30"/>
      <c r="E24" s="9"/>
    </row>
    <row r="25" spans="1:7" ht="25.5" x14ac:dyDescent="0.25">
      <c r="A25" s="30">
        <v>1</v>
      </c>
      <c r="B25" s="30">
        <f>B21+1</f>
        <v>5</v>
      </c>
      <c r="C25" s="28" t="s">
        <v>46</v>
      </c>
    </row>
    <row r="26" spans="1:7" x14ac:dyDescent="0.25">
      <c r="C26" s="3" t="s">
        <v>47</v>
      </c>
    </row>
    <row r="27" spans="1:7" x14ac:dyDescent="0.25">
      <c r="D27" s="3" t="s">
        <v>36</v>
      </c>
      <c r="E27" s="9">
        <f>24.15</f>
        <v>24.15</v>
      </c>
      <c r="G27" s="33">
        <f>F27*E27</f>
        <v>0</v>
      </c>
    </row>
    <row r="29" spans="1:7" ht="38.25" x14ac:dyDescent="0.25">
      <c r="A29" s="30">
        <v>1</v>
      </c>
      <c r="B29" s="30">
        <f>B25+1</f>
        <v>6</v>
      </c>
      <c r="C29" s="28" t="s">
        <v>217</v>
      </c>
    </row>
    <row r="30" spans="1:7" x14ac:dyDescent="0.25">
      <c r="C30" s="3" t="s">
        <v>57</v>
      </c>
    </row>
    <row r="31" spans="1:7" ht="15" x14ac:dyDescent="0.25">
      <c r="D31" s="3" t="s">
        <v>8</v>
      </c>
      <c r="E31" s="9">
        <f>0.25*1.5*2</f>
        <v>0.75</v>
      </c>
      <c r="G31" s="33">
        <f>F31*E31</f>
        <v>0</v>
      </c>
    </row>
    <row r="33" spans="1:7" ht="51" x14ac:dyDescent="0.25">
      <c r="A33" s="30">
        <v>1</v>
      </c>
      <c r="B33" s="30">
        <f>B29+1</f>
        <v>7</v>
      </c>
      <c r="C33" s="28" t="s">
        <v>218</v>
      </c>
    </row>
    <row r="34" spans="1:7" x14ac:dyDescent="0.25">
      <c r="C34" s="3" t="s">
        <v>57</v>
      </c>
    </row>
    <row r="35" spans="1:7" ht="15" x14ac:dyDescent="0.25">
      <c r="D35" s="3" t="s">
        <v>8</v>
      </c>
      <c r="E35" s="9">
        <f>1.5*2.5*0.1</f>
        <v>0.375</v>
      </c>
      <c r="G35" s="33">
        <f>F35*E35</f>
        <v>0</v>
      </c>
    </row>
    <row r="37" spans="1:7" s="17" customFormat="1" x14ac:dyDescent="0.25">
      <c r="A37" s="16"/>
      <c r="B37" s="16"/>
      <c r="C37" s="17" t="s">
        <v>90</v>
      </c>
      <c r="D37" s="2"/>
      <c r="E37" s="18"/>
      <c r="F37" s="43"/>
      <c r="G37" s="36">
        <f>SUM(G8:G36)</f>
        <v>0</v>
      </c>
    </row>
    <row r="38" spans="1:7" s="2" customFormat="1" x14ac:dyDescent="0.25">
      <c r="A38" s="14"/>
      <c r="B38" s="14"/>
      <c r="C38" s="17"/>
      <c r="E38" s="15"/>
      <c r="F38" s="37"/>
      <c r="G38" s="33"/>
    </row>
    <row r="39" spans="1:7" s="5" customFormat="1" ht="15" x14ac:dyDescent="0.25">
      <c r="A39" s="114">
        <f>A6+1</f>
        <v>2</v>
      </c>
      <c r="B39" s="114"/>
      <c r="C39" s="26" t="s">
        <v>52</v>
      </c>
      <c r="D39" s="76"/>
      <c r="E39" s="8"/>
      <c r="F39" s="35"/>
      <c r="G39" s="35"/>
    </row>
    <row r="41" spans="1:7" ht="25.5" x14ac:dyDescent="0.25">
      <c r="A41" s="30">
        <v>2</v>
      </c>
      <c r="B41" s="30">
        <v>1</v>
      </c>
      <c r="C41" s="3" t="s">
        <v>195</v>
      </c>
    </row>
    <row r="42" spans="1:7" x14ac:dyDescent="0.25">
      <c r="A42" s="30"/>
      <c r="B42" s="30"/>
      <c r="C42" s="3" t="s">
        <v>196</v>
      </c>
    </row>
    <row r="43" spans="1:7" s="10" customFormat="1" ht="12.75" customHeight="1" x14ac:dyDescent="0.25">
      <c r="A43" s="31"/>
      <c r="B43" s="31"/>
      <c r="D43" s="3" t="s">
        <v>45</v>
      </c>
      <c r="E43" s="6">
        <v>30</v>
      </c>
      <c r="F43" s="36"/>
      <c r="G43" s="33">
        <f>F43*E44</f>
        <v>0</v>
      </c>
    </row>
    <row r="44" spans="1:7" ht="25.5" x14ac:dyDescent="0.25">
      <c r="A44" s="30">
        <v>2</v>
      </c>
      <c r="B44" s="30">
        <f>B41+1</f>
        <v>2</v>
      </c>
      <c r="C44" s="3" t="s">
        <v>101</v>
      </c>
    </row>
    <row r="45" spans="1:7" ht="25.5" x14ac:dyDescent="0.25">
      <c r="A45" s="30"/>
      <c r="B45" s="30"/>
      <c r="C45" s="3" t="s">
        <v>20</v>
      </c>
    </row>
    <row r="46" spans="1:7" s="10" customFormat="1" ht="12.75" customHeight="1" x14ac:dyDescent="0.25">
      <c r="A46" s="31"/>
      <c r="B46" s="31"/>
      <c r="D46" s="3" t="s">
        <v>8</v>
      </c>
      <c r="E46" s="6">
        <f>375*0.25</f>
        <v>93.75</v>
      </c>
      <c r="F46" s="36"/>
      <c r="G46" s="33">
        <f>F46*E47</f>
        <v>0</v>
      </c>
    </row>
    <row r="47" spans="1:7" x14ac:dyDescent="0.25">
      <c r="A47" s="30"/>
      <c r="B47" s="30"/>
      <c r="E47" s="11"/>
    </row>
    <row r="48" spans="1:7" ht="191.25" x14ac:dyDescent="0.25">
      <c r="A48" s="30">
        <v>2</v>
      </c>
      <c r="B48" s="30">
        <f>B44+1</f>
        <v>3</v>
      </c>
      <c r="C48" s="28" t="s">
        <v>169</v>
      </c>
    </row>
    <row r="49" spans="1:7" x14ac:dyDescent="0.25">
      <c r="A49" s="30"/>
      <c r="B49" s="30"/>
      <c r="C49" s="3" t="s">
        <v>35</v>
      </c>
    </row>
    <row r="50" spans="1:7" x14ac:dyDescent="0.25">
      <c r="A50" s="30"/>
      <c r="B50" s="30"/>
      <c r="D50" s="3" t="s">
        <v>36</v>
      </c>
      <c r="E50" s="6">
        <f>95+85</f>
        <v>180</v>
      </c>
      <c r="G50" s="33">
        <f>F50*E51</f>
        <v>0</v>
      </c>
    </row>
    <row r="51" spans="1:7" x14ac:dyDescent="0.25">
      <c r="A51" s="30"/>
      <c r="B51" s="30"/>
      <c r="E51" s="11"/>
    </row>
    <row r="52" spans="1:7" ht="191.25" x14ac:dyDescent="0.25">
      <c r="A52" s="30">
        <v>2</v>
      </c>
      <c r="B52" s="30">
        <f>B48+1</f>
        <v>4</v>
      </c>
      <c r="C52" s="28" t="s">
        <v>170</v>
      </c>
    </row>
    <row r="53" spans="1:7" x14ac:dyDescent="0.25">
      <c r="A53" s="30"/>
      <c r="B53" s="30"/>
      <c r="C53" s="3" t="s">
        <v>35</v>
      </c>
    </row>
    <row r="54" spans="1:7" s="10" customFormat="1" x14ac:dyDescent="0.25">
      <c r="A54" s="31"/>
      <c r="B54" s="31"/>
      <c r="D54" s="3" t="s">
        <v>36</v>
      </c>
      <c r="E54" s="6">
        <v>5</v>
      </c>
      <c r="F54" s="36"/>
      <c r="G54" s="33">
        <f>F54*E55</f>
        <v>0</v>
      </c>
    </row>
    <row r="55" spans="1:7" x14ac:dyDescent="0.25">
      <c r="A55" s="30"/>
      <c r="B55" s="30"/>
      <c r="E55" s="11"/>
    </row>
    <row r="56" spans="1:7" ht="25.5" x14ac:dyDescent="0.25">
      <c r="A56" s="30">
        <v>2</v>
      </c>
      <c r="B56" s="30">
        <f>B52+1</f>
        <v>5</v>
      </c>
      <c r="C56" s="28" t="s">
        <v>102</v>
      </c>
    </row>
    <row r="57" spans="1:7" x14ac:dyDescent="0.25">
      <c r="A57" s="30"/>
      <c r="B57" s="30"/>
      <c r="C57" s="3" t="s">
        <v>35</v>
      </c>
    </row>
    <row r="58" spans="1:7" s="10" customFormat="1" x14ac:dyDescent="0.25">
      <c r="A58" s="31"/>
      <c r="B58" s="31"/>
      <c r="D58" s="3" t="s">
        <v>36</v>
      </c>
      <c r="E58" s="6">
        <v>3</v>
      </c>
      <c r="F58" s="36"/>
      <c r="G58" s="33">
        <f>E58*F58</f>
        <v>0</v>
      </c>
    </row>
    <row r="59" spans="1:7" ht="191.25" x14ac:dyDescent="0.25">
      <c r="A59" s="30">
        <v>2</v>
      </c>
      <c r="B59" s="30">
        <f>B56+1</f>
        <v>6</v>
      </c>
      <c r="C59" s="28" t="s">
        <v>171</v>
      </c>
    </row>
    <row r="60" spans="1:7" x14ac:dyDescent="0.25">
      <c r="A60" s="30"/>
      <c r="B60" s="30"/>
      <c r="C60" s="3" t="s">
        <v>35</v>
      </c>
    </row>
    <row r="61" spans="1:7" s="10" customFormat="1" x14ac:dyDescent="0.25">
      <c r="A61" s="31"/>
      <c r="B61" s="31"/>
      <c r="D61" s="3" t="s">
        <v>36</v>
      </c>
      <c r="E61" s="6">
        <v>7</v>
      </c>
      <c r="F61" s="36"/>
      <c r="G61" s="33">
        <f>E61*F61</f>
        <v>0</v>
      </c>
    </row>
    <row r="62" spans="1:7" s="2" customFormat="1" ht="38.25" x14ac:dyDescent="0.25">
      <c r="A62" s="30">
        <v>2</v>
      </c>
      <c r="B62" s="30">
        <f>B59+1</f>
        <v>7</v>
      </c>
      <c r="C62" s="29" t="s">
        <v>219</v>
      </c>
      <c r="E62" s="15"/>
      <c r="F62" s="37"/>
      <c r="G62" s="37"/>
    </row>
    <row r="63" spans="1:7" s="2" customFormat="1" x14ac:dyDescent="0.25">
      <c r="A63" s="32"/>
      <c r="B63" s="32"/>
      <c r="C63" s="2" t="s">
        <v>220</v>
      </c>
      <c r="F63" s="37"/>
      <c r="G63" s="37"/>
    </row>
    <row r="64" spans="1:7" s="2" customFormat="1" x14ac:dyDescent="0.25">
      <c r="A64" s="32"/>
      <c r="B64" s="32"/>
      <c r="D64" s="2" t="s">
        <v>99</v>
      </c>
      <c r="E64" s="15">
        <f>0.1*60</f>
        <v>6</v>
      </c>
      <c r="F64" s="37"/>
      <c r="G64" s="33">
        <f>E64*F64</f>
        <v>0</v>
      </c>
    </row>
    <row r="65" spans="1:7" s="2" customFormat="1" x14ac:dyDescent="0.25">
      <c r="A65" s="32"/>
      <c r="B65" s="32"/>
      <c r="E65" s="15"/>
      <c r="F65" s="37"/>
      <c r="G65" s="33"/>
    </row>
    <row r="66" spans="1:7" s="2" customFormat="1" ht="318.75" x14ac:dyDescent="0.25">
      <c r="A66" s="32">
        <f>A62</f>
        <v>2</v>
      </c>
      <c r="B66" s="32">
        <f>B62+1</f>
        <v>8</v>
      </c>
      <c r="C66" s="29" t="s">
        <v>221</v>
      </c>
      <c r="E66" s="15"/>
    </row>
    <row r="67" spans="1:7" s="2" customFormat="1" x14ac:dyDescent="0.25">
      <c r="A67" s="32"/>
      <c r="B67" s="32"/>
      <c r="C67" s="2" t="s">
        <v>14</v>
      </c>
      <c r="E67" s="15"/>
    </row>
    <row r="68" spans="1:7" s="2" customFormat="1" x14ac:dyDescent="0.25">
      <c r="A68" s="32"/>
      <c r="B68" s="32"/>
      <c r="D68" s="2" t="s">
        <v>42</v>
      </c>
      <c r="E68" s="15">
        <f>E64*95</f>
        <v>570</v>
      </c>
      <c r="F68" s="37"/>
      <c r="G68" s="33">
        <f>E68*F68</f>
        <v>0</v>
      </c>
    </row>
    <row r="69" spans="1:7" s="2" customFormat="1" x14ac:dyDescent="0.25">
      <c r="A69" s="32"/>
      <c r="B69" s="32"/>
      <c r="E69" s="15"/>
      <c r="F69" s="37"/>
      <c r="G69" s="37"/>
    </row>
    <row r="70" spans="1:7" s="2" customFormat="1" ht="38.25" x14ac:dyDescent="0.25">
      <c r="A70" s="30">
        <v>2</v>
      </c>
      <c r="B70" s="30">
        <f>B66+1</f>
        <v>9</v>
      </c>
      <c r="C70" s="29" t="s">
        <v>50</v>
      </c>
      <c r="E70" s="15"/>
      <c r="F70" s="37"/>
      <c r="G70" s="37"/>
    </row>
    <row r="71" spans="1:7" s="2" customFormat="1" ht="25.5" x14ac:dyDescent="0.25">
      <c r="A71" s="32"/>
      <c r="B71" s="32"/>
      <c r="C71" s="2" t="s">
        <v>49</v>
      </c>
      <c r="F71" s="37"/>
      <c r="G71" s="37"/>
    </row>
    <row r="72" spans="1:7" s="2" customFormat="1" x14ac:dyDescent="0.25">
      <c r="A72" s="32"/>
      <c r="B72" s="32"/>
      <c r="D72" s="2" t="s">
        <v>99</v>
      </c>
      <c r="E72" s="15">
        <f>0.2*240</f>
        <v>48</v>
      </c>
      <c r="F72" s="37"/>
      <c r="G72" s="33">
        <f>E72*F72</f>
        <v>0</v>
      </c>
    </row>
    <row r="73" spans="1:7" s="2" customFormat="1" x14ac:dyDescent="0.25">
      <c r="A73" s="32"/>
      <c r="B73" s="32"/>
      <c r="E73" s="15"/>
      <c r="F73" s="37"/>
      <c r="G73" s="36"/>
    </row>
    <row r="74" spans="1:7" s="2" customFormat="1" ht="38.25" x14ac:dyDescent="0.25">
      <c r="A74" s="30">
        <v>2</v>
      </c>
      <c r="B74" s="30">
        <f>B70+1</f>
        <v>10</v>
      </c>
      <c r="C74" s="29" t="s">
        <v>51</v>
      </c>
      <c r="E74" s="15"/>
      <c r="F74" s="37"/>
      <c r="G74" s="37"/>
    </row>
    <row r="75" spans="1:7" s="2" customFormat="1" ht="25.5" x14ac:dyDescent="0.25">
      <c r="A75" s="14"/>
      <c r="B75" s="14"/>
      <c r="C75" s="2" t="s">
        <v>49</v>
      </c>
      <c r="F75" s="37"/>
      <c r="G75" s="37"/>
    </row>
    <row r="76" spans="1:7" s="2" customFormat="1" x14ac:dyDescent="0.25">
      <c r="A76" s="14"/>
      <c r="B76" s="14"/>
      <c r="D76" s="2" t="s">
        <v>99</v>
      </c>
      <c r="E76" s="15">
        <f>0.1*180</f>
        <v>18</v>
      </c>
      <c r="F76" s="37"/>
      <c r="G76" s="33">
        <f>E76*F76</f>
        <v>0</v>
      </c>
    </row>
    <row r="77" spans="1:7" s="2" customFormat="1" x14ac:dyDescent="0.25">
      <c r="A77" s="14"/>
      <c r="B77" s="14"/>
      <c r="E77" s="15"/>
      <c r="F77" s="37"/>
      <c r="G77" s="33"/>
    </row>
    <row r="78" spans="1:7" s="17" customFormat="1" x14ac:dyDescent="0.25">
      <c r="A78" s="16"/>
      <c r="B78" s="16"/>
      <c r="C78" s="17" t="s">
        <v>90</v>
      </c>
      <c r="D78" s="2"/>
      <c r="E78" s="18"/>
      <c r="F78" s="43"/>
      <c r="G78" s="36">
        <f>SUM(G41:G77)</f>
        <v>0</v>
      </c>
    </row>
    <row r="79" spans="1:7" s="2" customFormat="1" x14ac:dyDescent="0.25">
      <c r="A79" s="14"/>
      <c r="B79" s="14"/>
      <c r="E79" s="15"/>
      <c r="F79" s="37"/>
      <c r="G79" s="33"/>
    </row>
    <row r="80" spans="1:7" s="22" customFormat="1" ht="30" x14ac:dyDescent="0.25">
      <c r="A80" s="113">
        <v>3</v>
      </c>
      <c r="B80" s="113"/>
      <c r="C80" s="20" t="s">
        <v>53</v>
      </c>
      <c r="D80" s="77"/>
      <c r="E80" s="21"/>
      <c r="F80" s="38"/>
      <c r="G80" s="38"/>
    </row>
    <row r="81" spans="1:7" s="24" customFormat="1" x14ac:dyDescent="0.25">
      <c r="A81" s="23"/>
      <c r="B81" s="23"/>
      <c r="E81" s="25"/>
      <c r="F81" s="39"/>
      <c r="G81" s="39"/>
    </row>
    <row r="82" spans="1:7" s="24" customFormat="1" ht="38.25" x14ac:dyDescent="0.25">
      <c r="A82" s="23">
        <f>A80</f>
        <v>3</v>
      </c>
      <c r="B82" s="23">
        <v>1</v>
      </c>
      <c r="C82" s="29" t="s">
        <v>219</v>
      </c>
      <c r="E82" s="25"/>
      <c r="F82" s="39"/>
      <c r="G82" s="39"/>
    </row>
    <row r="83" spans="1:7" s="24" customFormat="1" ht="25.5" x14ac:dyDescent="0.25">
      <c r="A83" s="23"/>
      <c r="B83" s="23"/>
      <c r="C83" s="2" t="s">
        <v>48</v>
      </c>
      <c r="F83" s="39"/>
      <c r="G83" s="39"/>
    </row>
    <row r="84" spans="1:7" s="24" customFormat="1" x14ac:dyDescent="0.25">
      <c r="A84" s="23"/>
      <c r="B84" s="23"/>
      <c r="D84" s="2" t="s">
        <v>99</v>
      </c>
      <c r="E84" s="25">
        <f>0.1*170</f>
        <v>17</v>
      </c>
      <c r="F84" s="39"/>
      <c r="G84" s="39">
        <f>F84*E84</f>
        <v>0</v>
      </c>
    </row>
    <row r="85" spans="1:7" s="24" customFormat="1" x14ac:dyDescent="0.25">
      <c r="A85" s="23"/>
      <c r="B85" s="23"/>
      <c r="D85" s="2"/>
      <c r="E85" s="25"/>
      <c r="F85" s="39"/>
      <c r="G85" s="39"/>
    </row>
    <row r="86" spans="1:7" s="2" customFormat="1" ht="318.75" x14ac:dyDescent="0.25">
      <c r="A86" s="32">
        <f>A82</f>
        <v>3</v>
      </c>
      <c r="B86" s="32">
        <f>B82+1</f>
        <v>2</v>
      </c>
      <c r="C86" s="29" t="s">
        <v>221</v>
      </c>
      <c r="E86" s="15"/>
    </row>
    <row r="87" spans="1:7" s="2" customFormat="1" x14ac:dyDescent="0.25">
      <c r="A87" s="32"/>
      <c r="B87" s="32"/>
      <c r="C87" s="2" t="s">
        <v>14</v>
      </c>
      <c r="E87" s="15"/>
    </row>
    <row r="88" spans="1:7" s="2" customFormat="1" x14ac:dyDescent="0.25">
      <c r="A88" s="32"/>
      <c r="B88" s="32"/>
      <c r="D88" s="2" t="s">
        <v>42</v>
      </c>
      <c r="E88" s="15">
        <f>E84*95</f>
        <v>1615</v>
      </c>
      <c r="F88" s="37"/>
      <c r="G88" s="33">
        <f>E88*F88</f>
        <v>0</v>
      </c>
    </row>
    <row r="89" spans="1:7" s="2" customFormat="1" x14ac:dyDescent="0.25">
      <c r="A89" s="32"/>
      <c r="B89" s="32"/>
      <c r="E89" s="15"/>
      <c r="F89" s="37"/>
      <c r="G89" s="37"/>
    </row>
    <row r="90" spans="1:7" s="24" customFormat="1" ht="38.25" x14ac:dyDescent="0.25">
      <c r="A90" s="23">
        <f>A82</f>
        <v>3</v>
      </c>
      <c r="B90" s="23">
        <f>B86+1</f>
        <v>3</v>
      </c>
      <c r="C90" s="29" t="s">
        <v>54</v>
      </c>
      <c r="E90" s="25"/>
      <c r="F90" s="39"/>
      <c r="G90" s="39"/>
    </row>
    <row r="91" spans="1:7" s="24" customFormat="1" x14ac:dyDescent="0.25">
      <c r="A91" s="23"/>
      <c r="B91" s="23"/>
      <c r="C91" s="2" t="s">
        <v>35</v>
      </c>
      <c r="F91" s="39"/>
      <c r="G91" s="39"/>
    </row>
    <row r="92" spans="1:7" s="24" customFormat="1" x14ac:dyDescent="0.25">
      <c r="A92" s="23"/>
      <c r="B92" s="23"/>
      <c r="D92" s="2" t="s">
        <v>36</v>
      </c>
      <c r="E92" s="25">
        <v>100</v>
      </c>
      <c r="F92" s="39"/>
      <c r="G92" s="39">
        <f>F92*E92</f>
        <v>0</v>
      </c>
    </row>
    <row r="93" spans="1:7" s="24" customFormat="1" x14ac:dyDescent="0.25">
      <c r="A93" s="23"/>
      <c r="B93" s="23"/>
      <c r="E93" s="25"/>
      <c r="F93" s="39"/>
      <c r="G93" s="39"/>
    </row>
    <row r="94" spans="1:7" s="24" customFormat="1" ht="38.25" x14ac:dyDescent="0.25">
      <c r="A94" s="23">
        <f>A90</f>
        <v>3</v>
      </c>
      <c r="B94" s="23">
        <f>B90+1</f>
        <v>4</v>
      </c>
      <c r="C94" s="29" t="s">
        <v>197</v>
      </c>
      <c r="E94" s="25"/>
      <c r="F94" s="39"/>
      <c r="G94" s="39"/>
    </row>
    <row r="95" spans="1:7" s="24" customFormat="1" x14ac:dyDescent="0.25">
      <c r="A95" s="23"/>
      <c r="B95" s="23"/>
      <c r="C95" s="2" t="s">
        <v>55</v>
      </c>
      <c r="F95" s="39"/>
      <c r="G95" s="39"/>
    </row>
    <row r="96" spans="1:7" s="24" customFormat="1" x14ac:dyDescent="0.25">
      <c r="A96" s="23"/>
      <c r="B96" s="23"/>
      <c r="D96" s="3" t="s">
        <v>45</v>
      </c>
      <c r="E96" s="25">
        <v>76</v>
      </c>
      <c r="F96" s="39"/>
      <c r="G96" s="39">
        <f>F96*E96</f>
        <v>0</v>
      </c>
    </row>
    <row r="97" spans="1:7" s="24" customFormat="1" x14ac:dyDescent="0.25">
      <c r="A97" s="23"/>
      <c r="B97" s="23"/>
      <c r="E97" s="25"/>
      <c r="F97" s="39"/>
      <c r="G97" s="39"/>
    </row>
    <row r="98" spans="1:7" s="24" customFormat="1" x14ac:dyDescent="0.25">
      <c r="A98" s="23"/>
      <c r="B98" s="23"/>
      <c r="C98" s="17" t="s">
        <v>90</v>
      </c>
      <c r="D98" s="2"/>
      <c r="E98" s="18"/>
      <c r="F98" s="43"/>
      <c r="G98" s="36">
        <f>SUM(G82:G97)</f>
        <v>0</v>
      </c>
    </row>
    <row r="99" spans="1:7" s="24" customFormat="1" x14ac:dyDescent="0.25">
      <c r="A99" s="23"/>
      <c r="B99" s="23"/>
      <c r="E99" s="25"/>
      <c r="F99" s="39"/>
      <c r="G99" s="39"/>
    </row>
    <row r="100" spans="1:7" s="5" customFormat="1" ht="15" x14ac:dyDescent="0.25">
      <c r="A100" s="114">
        <v>4</v>
      </c>
      <c r="B100" s="114"/>
      <c r="C100" s="19" t="s">
        <v>56</v>
      </c>
      <c r="D100" s="76"/>
      <c r="E100" s="8"/>
      <c r="F100" s="35"/>
      <c r="G100" s="35"/>
    </row>
    <row r="101" spans="1:7" x14ac:dyDescent="0.25">
      <c r="A101" s="30"/>
      <c r="B101" s="30"/>
    </row>
    <row r="102" spans="1:7" ht="25.5" x14ac:dyDescent="0.25">
      <c r="A102" s="30">
        <v>4</v>
      </c>
      <c r="B102" s="30">
        <v>1</v>
      </c>
      <c r="C102" s="3" t="s">
        <v>58</v>
      </c>
    </row>
    <row r="103" spans="1:7" x14ac:dyDescent="0.25">
      <c r="A103" s="30"/>
      <c r="B103" s="30"/>
      <c r="C103" s="3" t="s">
        <v>47</v>
      </c>
    </row>
    <row r="104" spans="1:7" x14ac:dyDescent="0.25">
      <c r="A104" s="30"/>
      <c r="B104" s="30"/>
      <c r="D104" s="3" t="s">
        <v>36</v>
      </c>
      <c r="E104" s="6">
        <v>4700</v>
      </c>
      <c r="G104" s="39">
        <f>F104*E104</f>
        <v>0</v>
      </c>
    </row>
    <row r="105" spans="1:7" x14ac:dyDescent="0.25">
      <c r="A105" s="30"/>
      <c r="B105" s="30"/>
      <c r="E105" s="12"/>
    </row>
    <row r="106" spans="1:7" ht="63.75" x14ac:dyDescent="0.25">
      <c r="A106" s="30">
        <v>4</v>
      </c>
      <c r="B106" s="30">
        <f>B102+1</f>
        <v>2</v>
      </c>
      <c r="C106" s="3" t="s">
        <v>198</v>
      </c>
    </row>
    <row r="107" spans="1:7" x14ac:dyDescent="0.25">
      <c r="A107" s="30"/>
      <c r="B107" s="30"/>
      <c r="C107" s="3" t="s">
        <v>57</v>
      </c>
    </row>
    <row r="108" spans="1:7" x14ac:dyDescent="0.25">
      <c r="A108" s="30"/>
      <c r="B108" s="30"/>
      <c r="D108" s="2" t="s">
        <v>99</v>
      </c>
      <c r="E108" s="6">
        <f>2*0.4*0.2*(285+145+470)</f>
        <v>144.00000000000003</v>
      </c>
      <c r="G108" s="39">
        <f>F108*E108</f>
        <v>0</v>
      </c>
    </row>
    <row r="109" spans="1:7" x14ac:dyDescent="0.25">
      <c r="A109" s="30"/>
      <c r="B109" s="30"/>
      <c r="E109" s="12"/>
    </row>
    <row r="110" spans="1:7" ht="76.5" x14ac:dyDescent="0.25">
      <c r="A110" s="30">
        <v>4</v>
      </c>
      <c r="B110" s="30">
        <f>B106+1</f>
        <v>3</v>
      </c>
      <c r="C110" s="3" t="s">
        <v>199</v>
      </c>
    </row>
    <row r="111" spans="1:7" x14ac:dyDescent="0.25">
      <c r="A111" s="30"/>
      <c r="B111" s="30"/>
      <c r="C111" s="3" t="s">
        <v>57</v>
      </c>
    </row>
    <row r="112" spans="1:7" x14ac:dyDescent="0.25">
      <c r="A112" s="30"/>
      <c r="B112" s="30"/>
      <c r="D112" s="2" t="s">
        <v>99</v>
      </c>
      <c r="E112" s="6">
        <f>2*0.4*0.1*(285+145+470)</f>
        <v>72.000000000000014</v>
      </c>
      <c r="G112" s="39">
        <f>F112*E112</f>
        <v>0</v>
      </c>
    </row>
    <row r="113" spans="1:7" x14ac:dyDescent="0.25">
      <c r="A113" s="30"/>
      <c r="B113" s="30"/>
      <c r="E113" s="12"/>
    </row>
    <row r="114" spans="1:7" ht="76.5" x14ac:dyDescent="0.25">
      <c r="A114" s="30">
        <v>4</v>
      </c>
      <c r="B114" s="30">
        <f>B110+1</f>
        <v>4</v>
      </c>
      <c r="C114" s="3" t="s">
        <v>200</v>
      </c>
    </row>
    <row r="115" spans="1:7" x14ac:dyDescent="0.25">
      <c r="A115" s="30"/>
      <c r="B115" s="30"/>
      <c r="C115" s="3" t="s">
        <v>57</v>
      </c>
    </row>
    <row r="116" spans="1:7" x14ac:dyDescent="0.25">
      <c r="A116" s="30"/>
      <c r="B116" s="30"/>
      <c r="D116" s="2" t="s">
        <v>99</v>
      </c>
      <c r="E116" s="6">
        <f>0.4*0.1*1900</f>
        <v>76.000000000000014</v>
      </c>
      <c r="G116" s="39">
        <f>F116*E116</f>
        <v>0</v>
      </c>
    </row>
    <row r="117" spans="1:7" x14ac:dyDescent="0.25">
      <c r="A117" s="30"/>
      <c r="B117" s="30"/>
      <c r="E117" s="12"/>
    </row>
    <row r="118" spans="1:7" ht="76.5" x14ac:dyDescent="0.25">
      <c r="A118" s="30">
        <v>4</v>
      </c>
      <c r="B118" s="30">
        <f>B114+1</f>
        <v>5</v>
      </c>
      <c r="C118" s="3" t="s">
        <v>199</v>
      </c>
    </row>
    <row r="119" spans="1:7" x14ac:dyDescent="0.25">
      <c r="A119" s="30"/>
      <c r="B119" s="30"/>
      <c r="C119" s="3" t="s">
        <v>57</v>
      </c>
    </row>
    <row r="120" spans="1:7" x14ac:dyDescent="0.25">
      <c r="A120" s="30"/>
      <c r="B120" s="30"/>
      <c r="D120" s="2" t="s">
        <v>99</v>
      </c>
      <c r="E120" s="6">
        <f>2*0.4*0.1*(1770+760+250+80+460+135+760)</f>
        <v>337.20000000000005</v>
      </c>
      <c r="G120" s="39">
        <f>F120*E120</f>
        <v>0</v>
      </c>
    </row>
    <row r="121" spans="1:7" x14ac:dyDescent="0.25">
      <c r="A121" s="30"/>
      <c r="B121" s="30"/>
      <c r="E121" s="12"/>
    </row>
    <row r="122" spans="1:7" ht="76.5" x14ac:dyDescent="0.25">
      <c r="A122" s="30">
        <v>4</v>
      </c>
      <c r="B122" s="30">
        <f>B118+1</f>
        <v>6</v>
      </c>
      <c r="C122" s="3" t="s">
        <v>201</v>
      </c>
    </row>
    <row r="123" spans="1:7" x14ac:dyDescent="0.25">
      <c r="A123" s="30"/>
      <c r="B123" s="30"/>
      <c r="C123" s="3" t="s">
        <v>57</v>
      </c>
    </row>
    <row r="124" spans="1:7" x14ac:dyDescent="0.25">
      <c r="A124" s="30"/>
      <c r="B124" s="30"/>
      <c r="D124" s="2" t="s">
        <v>99</v>
      </c>
      <c r="E124" s="6">
        <f>3.75*0.1*290</f>
        <v>108.75</v>
      </c>
      <c r="G124" s="39">
        <f>F124*E124</f>
        <v>0</v>
      </c>
    </row>
    <row r="125" spans="1:7" x14ac:dyDescent="0.25">
      <c r="A125" s="30"/>
      <c r="B125" s="30"/>
      <c r="E125" s="12"/>
    </row>
    <row r="126" spans="1:7" ht="25.5" x14ac:dyDescent="0.25">
      <c r="A126" s="30">
        <v>4</v>
      </c>
      <c r="B126" s="30">
        <f>B122+1</f>
        <v>7</v>
      </c>
      <c r="C126" s="3" t="s">
        <v>105</v>
      </c>
    </row>
    <row r="127" spans="1:7" x14ac:dyDescent="0.25">
      <c r="A127" s="30"/>
      <c r="B127" s="30"/>
      <c r="C127" s="3" t="s">
        <v>47</v>
      </c>
    </row>
    <row r="128" spans="1:7" x14ac:dyDescent="0.25">
      <c r="A128" s="30"/>
      <c r="B128" s="30"/>
      <c r="D128" s="2" t="s">
        <v>36</v>
      </c>
      <c r="E128" s="6">
        <v>230</v>
      </c>
      <c r="G128" s="39">
        <f>F128*E128</f>
        <v>0</v>
      </c>
    </row>
    <row r="129" spans="1:7" x14ac:dyDescent="0.25">
      <c r="A129" s="30"/>
      <c r="B129" s="30"/>
      <c r="E129" s="12"/>
    </row>
    <row r="130" spans="1:7" ht="114.75" x14ac:dyDescent="0.25">
      <c r="A130" s="30">
        <v>4</v>
      </c>
      <c r="B130" s="30">
        <f>B126+1</f>
        <v>8</v>
      </c>
      <c r="C130" s="3" t="s">
        <v>239</v>
      </c>
    </row>
    <row r="131" spans="1:7" x14ac:dyDescent="0.25">
      <c r="C131" s="3" t="s">
        <v>47</v>
      </c>
    </row>
    <row r="132" spans="1:7" x14ac:dyDescent="0.25">
      <c r="D132" s="2" t="s">
        <v>36</v>
      </c>
      <c r="E132" s="6">
        <f>65+35+80+35+50+60+100+45+20+60+25+70+70+30+45+60+25+15+140+145+20+25+35+20+70+120+60+25</f>
        <v>1550</v>
      </c>
      <c r="G132" s="39">
        <f>F132*E132</f>
        <v>0</v>
      </c>
    </row>
    <row r="133" spans="1:7" x14ac:dyDescent="0.25">
      <c r="D133" s="2"/>
      <c r="G133" s="39"/>
    </row>
    <row r="134" spans="1:7" ht="63.75" x14ac:dyDescent="0.25">
      <c r="A134" s="30">
        <f>A130</f>
        <v>4</v>
      </c>
      <c r="B134" s="30">
        <f>B130+1</f>
        <v>9</v>
      </c>
      <c r="C134" s="28" t="s">
        <v>240</v>
      </c>
    </row>
    <row r="135" spans="1:7" x14ac:dyDescent="0.25">
      <c r="A135" s="30"/>
      <c r="B135" s="30"/>
      <c r="C135" s="3" t="s">
        <v>57</v>
      </c>
    </row>
    <row r="136" spans="1:7" x14ac:dyDescent="0.25">
      <c r="A136" s="30"/>
      <c r="B136" s="30"/>
      <c r="D136" s="3" t="s">
        <v>99</v>
      </c>
      <c r="E136" s="6">
        <f>0.2*0.2*0.4*(10+21+41+25+8+13+10+8+50+48+6+10+21+16+11+25+25+30+8+16+35+21+18+13+28+13+23)</f>
        <v>8.8480000000000025</v>
      </c>
      <c r="G136" s="33">
        <f>F136*E136</f>
        <v>0</v>
      </c>
    </row>
    <row r="137" spans="1:7" x14ac:dyDescent="0.25">
      <c r="A137" s="30"/>
      <c r="B137" s="30"/>
    </row>
    <row r="138" spans="1:7" ht="318.75" x14ac:dyDescent="0.25">
      <c r="A138" s="30">
        <f>A134</f>
        <v>4</v>
      </c>
      <c r="B138" s="30">
        <f>B134+1</f>
        <v>10</v>
      </c>
      <c r="C138" s="3" t="s">
        <v>15</v>
      </c>
    </row>
    <row r="139" spans="1:7" x14ac:dyDescent="0.25">
      <c r="A139" s="30"/>
      <c r="B139" s="30"/>
      <c r="C139" s="3" t="s">
        <v>41</v>
      </c>
    </row>
    <row r="140" spans="1:7" x14ac:dyDescent="0.25">
      <c r="A140" s="30"/>
      <c r="B140" s="30"/>
      <c r="D140" s="3" t="s">
        <v>42</v>
      </c>
      <c r="E140" s="6">
        <f>E136*95</f>
        <v>840.56000000000029</v>
      </c>
      <c r="G140" s="33">
        <f>F140*E140</f>
        <v>0</v>
      </c>
    </row>
    <row r="141" spans="1:7" x14ac:dyDescent="0.25">
      <c r="A141" s="30"/>
      <c r="B141" s="30"/>
    </row>
    <row r="142" spans="1:7" ht="140.25" x14ac:dyDescent="0.25">
      <c r="A142" s="30">
        <v>4</v>
      </c>
      <c r="B142" s="30">
        <f>B138+1</f>
        <v>11</v>
      </c>
      <c r="C142" s="3" t="s">
        <v>238</v>
      </c>
    </row>
    <row r="143" spans="1:7" x14ac:dyDescent="0.25">
      <c r="C143" s="3" t="s">
        <v>47</v>
      </c>
    </row>
    <row r="144" spans="1:7" x14ac:dyDescent="0.25">
      <c r="D144" s="2" t="s">
        <v>36</v>
      </c>
      <c r="E144" s="6">
        <f>2*4</f>
        <v>8</v>
      </c>
      <c r="G144" s="39">
        <f>F144*E144</f>
        <v>0</v>
      </c>
    </row>
    <row r="145" spans="1:7" x14ac:dyDescent="0.25">
      <c r="D145" s="2"/>
      <c r="G145" s="39"/>
    </row>
    <row r="146" spans="1:7" s="24" customFormat="1" x14ac:dyDescent="0.25">
      <c r="A146" s="23"/>
      <c r="B146" s="23"/>
      <c r="C146" s="17" t="s">
        <v>90</v>
      </c>
      <c r="D146" s="2"/>
      <c r="E146" s="18"/>
      <c r="F146" s="43"/>
      <c r="G146" s="36">
        <f>SUM(G102:G145)</f>
        <v>0</v>
      </c>
    </row>
    <row r="147" spans="1:7" s="24" customFormat="1" x14ac:dyDescent="0.25">
      <c r="A147" s="23"/>
      <c r="B147" s="23"/>
      <c r="E147" s="25"/>
      <c r="F147" s="39"/>
      <c r="G147" s="39"/>
    </row>
    <row r="148" spans="1:7" s="5" customFormat="1" ht="15" x14ac:dyDescent="0.25">
      <c r="A148" s="114">
        <v>5</v>
      </c>
      <c r="B148" s="114"/>
      <c r="C148" s="26" t="s">
        <v>60</v>
      </c>
      <c r="D148" s="76"/>
      <c r="E148" s="8"/>
      <c r="F148" s="35"/>
      <c r="G148" s="35"/>
    </row>
    <row r="149" spans="1:7" x14ac:dyDescent="0.25">
      <c r="A149" s="30"/>
      <c r="B149" s="30"/>
    </row>
    <row r="150" spans="1:7" s="28" customFormat="1" ht="216.75" x14ac:dyDescent="0.25">
      <c r="A150" s="79">
        <f>A148</f>
        <v>5</v>
      </c>
      <c r="B150" s="79">
        <v>1</v>
      </c>
      <c r="C150" s="74" t="s">
        <v>237</v>
      </c>
      <c r="E150" s="9"/>
    </row>
    <row r="151" spans="1:7" s="28" customFormat="1" ht="25.5" x14ac:dyDescent="0.25">
      <c r="A151" s="79"/>
      <c r="B151" s="79"/>
      <c r="C151" s="28" t="s">
        <v>20</v>
      </c>
      <c r="E151" s="9"/>
    </row>
    <row r="152" spans="1:7" s="28" customFormat="1" ht="15" x14ac:dyDescent="0.25">
      <c r="A152" s="79"/>
      <c r="B152" s="79"/>
      <c r="D152" s="28" t="s">
        <v>165</v>
      </c>
      <c r="E152" s="6">
        <f>0.6*0.6*0.55*50</f>
        <v>9.9</v>
      </c>
      <c r="G152" s="83">
        <f>E152*F152</f>
        <v>0</v>
      </c>
    </row>
    <row r="153" spans="1:7" s="28" customFormat="1" x14ac:dyDescent="0.25">
      <c r="A153" s="79"/>
      <c r="B153" s="79"/>
      <c r="E153" s="9"/>
      <c r="G153" s="83"/>
    </row>
    <row r="154" spans="1:7" ht="38.25" x14ac:dyDescent="0.25">
      <c r="A154" s="30">
        <f>A148</f>
        <v>5</v>
      </c>
      <c r="B154" s="30">
        <f>B150+1</f>
        <v>2</v>
      </c>
      <c r="C154" s="3" t="s">
        <v>202</v>
      </c>
    </row>
    <row r="155" spans="1:7" x14ac:dyDescent="0.25">
      <c r="A155" s="30"/>
      <c r="B155" s="30"/>
      <c r="C155" s="3" t="s">
        <v>19</v>
      </c>
    </row>
    <row r="156" spans="1:7" x14ac:dyDescent="0.25">
      <c r="A156" s="30"/>
      <c r="B156" s="30"/>
      <c r="D156" s="3" t="s">
        <v>59</v>
      </c>
      <c r="E156" s="6">
        <v>50</v>
      </c>
      <c r="G156" s="33">
        <f>F156*E156</f>
        <v>0</v>
      </c>
    </row>
    <row r="157" spans="1:7" x14ac:dyDescent="0.25">
      <c r="A157" s="30"/>
      <c r="B157" s="30"/>
    </row>
    <row r="158" spans="1:7" ht="25.5" x14ac:dyDescent="0.25">
      <c r="A158" s="30">
        <f>A154</f>
        <v>5</v>
      </c>
      <c r="B158" s="30">
        <f>B154+1</f>
        <v>3</v>
      </c>
      <c r="C158" s="3" t="s">
        <v>203</v>
      </c>
    </row>
    <row r="159" spans="1:7" x14ac:dyDescent="0.25">
      <c r="A159" s="30"/>
      <c r="B159" s="30"/>
      <c r="C159" s="3" t="s">
        <v>19</v>
      </c>
    </row>
    <row r="160" spans="1:7" x14ac:dyDescent="0.25">
      <c r="A160" s="30"/>
      <c r="B160" s="30"/>
      <c r="D160" s="3" t="s">
        <v>59</v>
      </c>
      <c r="E160" s="6">
        <v>50</v>
      </c>
      <c r="G160" s="33">
        <f>F160*E160</f>
        <v>0</v>
      </c>
    </row>
    <row r="161" spans="1:7" x14ac:dyDescent="0.25">
      <c r="A161" s="30"/>
      <c r="B161" s="30"/>
    </row>
    <row r="162" spans="1:7" ht="140.25" x14ac:dyDescent="0.25">
      <c r="A162" s="30">
        <f>A158</f>
        <v>5</v>
      </c>
      <c r="B162" s="30">
        <f>B158+1</f>
        <v>4</v>
      </c>
      <c r="C162" s="28" t="s">
        <v>163</v>
      </c>
      <c r="F162" s="3"/>
      <c r="G162" s="3"/>
    </row>
    <row r="163" spans="1:7" x14ac:dyDescent="0.25">
      <c r="A163" s="30"/>
      <c r="B163" s="30"/>
      <c r="C163" s="3" t="s">
        <v>57</v>
      </c>
    </row>
    <row r="164" spans="1:7" x14ac:dyDescent="0.25">
      <c r="A164" s="30"/>
      <c r="B164" s="30"/>
      <c r="D164" s="3" t="s">
        <v>99</v>
      </c>
      <c r="E164" s="6">
        <f>0.6*0.6*0.1*50</f>
        <v>1.7999999999999998</v>
      </c>
      <c r="G164" s="33">
        <f>F164*E164</f>
        <v>0</v>
      </c>
    </row>
    <row r="166" spans="1:7" ht="25.5" x14ac:dyDescent="0.25">
      <c r="A166" s="30">
        <f>A154</f>
        <v>5</v>
      </c>
      <c r="B166" s="30">
        <f>B162+1</f>
        <v>5</v>
      </c>
      <c r="C166" s="40" t="s">
        <v>159</v>
      </c>
      <c r="F166" s="3"/>
      <c r="G166" s="3"/>
    </row>
    <row r="167" spans="1:7" x14ac:dyDescent="0.25">
      <c r="A167" s="30"/>
      <c r="B167" s="30"/>
      <c r="C167" s="3" t="s">
        <v>57</v>
      </c>
    </row>
    <row r="168" spans="1:7" x14ac:dyDescent="0.25">
      <c r="A168" s="30"/>
      <c r="B168" s="30"/>
      <c r="D168" s="3" t="s">
        <v>99</v>
      </c>
      <c r="E168" s="6">
        <f>0.6*0.6*0.05*50</f>
        <v>0.89999999999999991</v>
      </c>
      <c r="G168" s="33">
        <f>F168*E168</f>
        <v>0</v>
      </c>
    </row>
    <row r="170" spans="1:7" ht="51" x14ac:dyDescent="0.25">
      <c r="A170" s="30">
        <f>A158</f>
        <v>5</v>
      </c>
      <c r="B170" s="30">
        <f>B166+1</f>
        <v>6</v>
      </c>
      <c r="C170" s="28" t="s">
        <v>207</v>
      </c>
    </row>
    <row r="171" spans="1:7" x14ac:dyDescent="0.25">
      <c r="A171" s="30"/>
      <c r="B171" s="30"/>
      <c r="C171" s="3" t="s">
        <v>57</v>
      </c>
    </row>
    <row r="172" spans="1:7" x14ac:dyDescent="0.25">
      <c r="A172" s="30"/>
      <c r="B172" s="30"/>
      <c r="D172" s="3" t="s">
        <v>99</v>
      </c>
      <c r="E172" s="6">
        <f>0.3*0.3*0.4*50</f>
        <v>1.7999999999999998</v>
      </c>
      <c r="G172" s="33">
        <f>F172*E172</f>
        <v>0</v>
      </c>
    </row>
    <row r="173" spans="1:7" x14ac:dyDescent="0.25">
      <c r="A173" s="30"/>
      <c r="B173" s="30"/>
    </row>
    <row r="174" spans="1:7" ht="318.75" x14ac:dyDescent="0.25">
      <c r="A174" s="30">
        <f>A170</f>
        <v>5</v>
      </c>
      <c r="B174" s="30">
        <f>B170+1</f>
        <v>7</v>
      </c>
      <c r="C174" s="3" t="s">
        <v>15</v>
      </c>
    </row>
    <row r="175" spans="1:7" x14ac:dyDescent="0.25">
      <c r="A175" s="30"/>
      <c r="B175" s="30"/>
      <c r="C175" s="3" t="s">
        <v>41</v>
      </c>
    </row>
    <row r="176" spans="1:7" x14ac:dyDescent="0.25">
      <c r="A176" s="30"/>
      <c r="B176" s="30"/>
      <c r="D176" s="3" t="s">
        <v>42</v>
      </c>
      <c r="E176" s="6">
        <f>E172*95</f>
        <v>170.99999999999997</v>
      </c>
      <c r="G176" s="33">
        <f>F176*E176</f>
        <v>0</v>
      </c>
    </row>
    <row r="177" spans="1:7" x14ac:dyDescent="0.25">
      <c r="A177" s="30"/>
      <c r="B177" s="30"/>
    </row>
    <row r="178" spans="1:7" s="24" customFormat="1" x14ac:dyDescent="0.25">
      <c r="A178" s="23"/>
      <c r="B178" s="23"/>
      <c r="C178" s="17" t="s">
        <v>90</v>
      </c>
      <c r="D178" s="2"/>
      <c r="E178" s="18"/>
      <c r="F178" s="43"/>
      <c r="G178" s="36">
        <f>SUM(G150:G177)</f>
        <v>0</v>
      </c>
    </row>
    <row r="179" spans="1:7" s="24" customFormat="1" x14ac:dyDescent="0.25">
      <c r="A179" s="23"/>
      <c r="B179" s="23"/>
      <c r="E179" s="25"/>
      <c r="F179" s="39"/>
      <c r="G179" s="39"/>
    </row>
    <row r="180" spans="1:7" s="5" customFormat="1" ht="15" x14ac:dyDescent="0.25">
      <c r="A180" s="114">
        <v>6</v>
      </c>
      <c r="B180" s="114"/>
      <c r="C180" s="26" t="s">
        <v>61</v>
      </c>
      <c r="D180" s="76"/>
      <c r="E180" s="8"/>
      <c r="F180" s="35"/>
      <c r="G180" s="35"/>
    </row>
    <row r="181" spans="1:7" x14ac:dyDescent="0.25">
      <c r="A181" s="30"/>
      <c r="B181" s="30"/>
    </row>
    <row r="182" spans="1:7" s="28" customFormat="1" ht="216.75" x14ac:dyDescent="0.25">
      <c r="A182" s="79">
        <f>A180</f>
        <v>6</v>
      </c>
      <c r="B182" s="79">
        <v>1</v>
      </c>
      <c r="C182" s="74" t="s">
        <v>237</v>
      </c>
      <c r="E182" s="9"/>
    </row>
    <row r="183" spans="1:7" s="28" customFormat="1" ht="25.5" x14ac:dyDescent="0.25">
      <c r="A183" s="79"/>
      <c r="B183" s="79"/>
      <c r="C183" s="28" t="s">
        <v>20</v>
      </c>
      <c r="E183" s="9"/>
    </row>
    <row r="184" spans="1:7" s="28" customFormat="1" ht="15" x14ac:dyDescent="0.25">
      <c r="A184" s="79"/>
      <c r="B184" s="79"/>
      <c r="D184" s="28" t="s">
        <v>165</v>
      </c>
      <c r="E184" s="6">
        <f>0.75*0.75*0.85*30</f>
        <v>14.343749999999998</v>
      </c>
      <c r="G184" s="83">
        <f>E184*F184</f>
        <v>0</v>
      </c>
    </row>
    <row r="185" spans="1:7" s="28" customFormat="1" x14ac:dyDescent="0.25">
      <c r="A185" s="79"/>
      <c r="B185" s="79"/>
      <c r="E185" s="9"/>
      <c r="G185" s="83"/>
    </row>
    <row r="186" spans="1:7" ht="38.25" x14ac:dyDescent="0.25">
      <c r="A186" s="30">
        <f>A180</f>
        <v>6</v>
      </c>
      <c r="B186" s="30">
        <f>B182+1</f>
        <v>2</v>
      </c>
      <c r="C186" s="3" t="s">
        <v>204</v>
      </c>
    </row>
    <row r="187" spans="1:7" x14ac:dyDescent="0.25">
      <c r="A187" s="30"/>
      <c r="B187" s="30"/>
      <c r="C187" s="3" t="s">
        <v>40</v>
      </c>
    </row>
    <row r="188" spans="1:7" x14ac:dyDescent="0.25">
      <c r="A188" s="30"/>
      <c r="B188" s="30"/>
      <c r="D188" s="3" t="s">
        <v>59</v>
      </c>
      <c r="E188" s="6">
        <v>15</v>
      </c>
      <c r="G188" s="33">
        <f>F188*E188</f>
        <v>0</v>
      </c>
    </row>
    <row r="189" spans="1:7" x14ac:dyDescent="0.25">
      <c r="A189" s="30"/>
      <c r="B189" s="30"/>
    </row>
    <row r="190" spans="1:7" ht="25.5" x14ac:dyDescent="0.25">
      <c r="A190" s="30">
        <f>A186</f>
        <v>6</v>
      </c>
      <c r="B190" s="30">
        <f>B186+1</f>
        <v>3</v>
      </c>
      <c r="C190" s="3" t="s">
        <v>104</v>
      </c>
    </row>
    <row r="191" spans="1:7" x14ac:dyDescent="0.25">
      <c r="A191" s="30"/>
      <c r="B191" s="30"/>
      <c r="C191" s="3" t="s">
        <v>44</v>
      </c>
    </row>
    <row r="192" spans="1:7" x14ac:dyDescent="0.25">
      <c r="A192" s="30"/>
      <c r="B192" s="30"/>
      <c r="D192" s="3" t="s">
        <v>45</v>
      </c>
      <c r="E192" s="6">
        <v>15</v>
      </c>
      <c r="G192" s="33">
        <f>F192*E192</f>
        <v>0</v>
      </c>
    </row>
    <row r="193" spans="1:7" x14ac:dyDescent="0.25">
      <c r="A193" s="30"/>
      <c r="B193" s="30"/>
    </row>
    <row r="194" spans="1:7" ht="51" x14ac:dyDescent="0.25">
      <c r="A194" s="30">
        <f>A180</f>
        <v>6</v>
      </c>
      <c r="B194" s="30">
        <f>B190+1</f>
        <v>4</v>
      </c>
      <c r="C194" s="3" t="s">
        <v>205</v>
      </c>
    </row>
    <row r="195" spans="1:7" x14ac:dyDescent="0.25">
      <c r="A195" s="30"/>
      <c r="B195" s="30"/>
      <c r="C195" s="3" t="s">
        <v>19</v>
      </c>
    </row>
    <row r="196" spans="1:7" x14ac:dyDescent="0.25">
      <c r="A196" s="30"/>
      <c r="B196" s="30"/>
      <c r="D196" s="3" t="s">
        <v>59</v>
      </c>
      <c r="E196" s="6">
        <v>30</v>
      </c>
      <c r="G196" s="33">
        <f>F196*E196</f>
        <v>0</v>
      </c>
    </row>
    <row r="197" spans="1:7" x14ac:dyDescent="0.25">
      <c r="A197" s="30"/>
      <c r="B197" s="30"/>
    </row>
    <row r="198" spans="1:7" ht="140.25" x14ac:dyDescent="0.25">
      <c r="A198" s="30">
        <f>A180</f>
        <v>6</v>
      </c>
      <c r="B198" s="30">
        <f>B194+1</f>
        <v>5</v>
      </c>
      <c r="C198" s="28" t="s">
        <v>163</v>
      </c>
      <c r="F198" s="3"/>
      <c r="G198" s="3"/>
    </row>
    <row r="199" spans="1:7" x14ac:dyDescent="0.25">
      <c r="A199" s="30"/>
      <c r="B199" s="30"/>
      <c r="C199" s="3" t="s">
        <v>57</v>
      </c>
    </row>
    <row r="200" spans="1:7" x14ac:dyDescent="0.25">
      <c r="A200" s="30"/>
      <c r="B200" s="30"/>
      <c r="D200" s="3" t="s">
        <v>99</v>
      </c>
      <c r="E200" s="6">
        <f>0.75*0.75*0.1*30</f>
        <v>1.6875</v>
      </c>
      <c r="G200" s="33">
        <f>F200*E200</f>
        <v>0</v>
      </c>
    </row>
    <row r="202" spans="1:7" ht="25.5" x14ac:dyDescent="0.25">
      <c r="A202" s="30">
        <f>A206</f>
        <v>6</v>
      </c>
      <c r="B202" s="30">
        <f>B198+1</f>
        <v>6</v>
      </c>
      <c r="C202" s="40" t="s">
        <v>159</v>
      </c>
      <c r="F202" s="3"/>
      <c r="G202" s="3"/>
    </row>
    <row r="203" spans="1:7" x14ac:dyDescent="0.25">
      <c r="A203" s="30"/>
      <c r="B203" s="30"/>
      <c r="C203" s="3" t="s">
        <v>57</v>
      </c>
    </row>
    <row r="204" spans="1:7" x14ac:dyDescent="0.25">
      <c r="A204" s="30"/>
      <c r="B204" s="30"/>
      <c r="D204" s="3" t="s">
        <v>99</v>
      </c>
      <c r="E204" s="6">
        <f>0.75*0.75*0.05*30</f>
        <v>0.84375</v>
      </c>
      <c r="G204" s="33">
        <f>F204*E204</f>
        <v>0</v>
      </c>
    </row>
    <row r="206" spans="1:7" ht="51" x14ac:dyDescent="0.25">
      <c r="A206" s="30">
        <f>A180</f>
        <v>6</v>
      </c>
      <c r="B206" s="30">
        <f>B202+1</f>
        <v>7</v>
      </c>
      <c r="C206" s="28" t="s">
        <v>206</v>
      </c>
    </row>
    <row r="207" spans="1:7" x14ac:dyDescent="0.25">
      <c r="A207" s="30"/>
      <c r="B207" s="30"/>
      <c r="C207" s="3" t="s">
        <v>57</v>
      </c>
    </row>
    <row r="208" spans="1:7" x14ac:dyDescent="0.25">
      <c r="A208" s="30"/>
      <c r="B208" s="30"/>
      <c r="D208" s="3" t="s">
        <v>99</v>
      </c>
      <c r="E208" s="6">
        <f>0.45*0.45*0.7*30</f>
        <v>4.2524999999999995</v>
      </c>
      <c r="G208" s="33">
        <f>F208*E208</f>
        <v>0</v>
      </c>
    </row>
    <row r="209" spans="1:7" x14ac:dyDescent="0.25">
      <c r="A209" s="30"/>
      <c r="B209" s="30"/>
    </row>
    <row r="210" spans="1:7" ht="318.75" x14ac:dyDescent="0.25">
      <c r="A210" s="30">
        <f>A206</f>
        <v>6</v>
      </c>
      <c r="B210" s="30">
        <f>B206+1</f>
        <v>8</v>
      </c>
      <c r="C210" s="3" t="s">
        <v>15</v>
      </c>
    </row>
    <row r="211" spans="1:7" x14ac:dyDescent="0.25">
      <c r="A211" s="30"/>
      <c r="B211" s="30"/>
      <c r="C211" s="3" t="s">
        <v>41</v>
      </c>
    </row>
    <row r="212" spans="1:7" x14ac:dyDescent="0.25">
      <c r="A212" s="30"/>
      <c r="B212" s="30"/>
      <c r="D212" s="3" t="s">
        <v>42</v>
      </c>
      <c r="E212" s="6">
        <f>E208*95</f>
        <v>403.98749999999995</v>
      </c>
      <c r="G212" s="33">
        <f>F212*E212</f>
        <v>0</v>
      </c>
    </row>
    <row r="213" spans="1:7" x14ac:dyDescent="0.25">
      <c r="A213" s="30"/>
      <c r="B213" s="30"/>
    </row>
    <row r="214" spans="1:7" s="24" customFormat="1" x14ac:dyDescent="0.25">
      <c r="A214" s="23"/>
      <c r="B214" s="23"/>
      <c r="C214" s="17" t="s">
        <v>90</v>
      </c>
      <c r="D214" s="2"/>
      <c r="E214" s="18"/>
      <c r="F214" s="43"/>
      <c r="G214" s="36">
        <f>SUM(G182:G213)</f>
        <v>0</v>
      </c>
    </row>
    <row r="215" spans="1:7" s="24" customFormat="1" x14ac:dyDescent="0.25">
      <c r="A215" s="23"/>
      <c r="B215" s="23"/>
      <c r="E215" s="25"/>
      <c r="F215" s="39"/>
      <c r="G215" s="39"/>
    </row>
    <row r="216" spans="1:7" s="5" customFormat="1" ht="15" x14ac:dyDescent="0.25">
      <c r="A216" s="114">
        <f>A180+1</f>
        <v>7</v>
      </c>
      <c r="B216" s="114"/>
      <c r="C216" s="26" t="s">
        <v>62</v>
      </c>
      <c r="D216" s="76"/>
      <c r="E216" s="8"/>
      <c r="F216" s="35"/>
      <c r="G216" s="35"/>
    </row>
    <row r="217" spans="1:7" x14ac:dyDescent="0.25">
      <c r="A217" s="30"/>
      <c r="B217" s="30"/>
    </row>
    <row r="218" spans="1:7" s="28" customFormat="1" ht="216.75" x14ac:dyDescent="0.25">
      <c r="A218" s="79">
        <f>A216</f>
        <v>7</v>
      </c>
      <c r="B218" s="79">
        <v>1</v>
      </c>
      <c r="C218" s="74" t="s">
        <v>237</v>
      </c>
      <c r="E218" s="9"/>
    </row>
    <row r="219" spans="1:7" s="28" customFormat="1" ht="25.5" x14ac:dyDescent="0.25">
      <c r="A219" s="79"/>
      <c r="B219" s="79"/>
      <c r="C219" s="28" t="s">
        <v>20</v>
      </c>
      <c r="E219" s="9"/>
    </row>
    <row r="220" spans="1:7" s="28" customFormat="1" ht="15" x14ac:dyDescent="0.25">
      <c r="A220" s="79"/>
      <c r="B220" s="79"/>
      <c r="D220" s="28" t="s">
        <v>165</v>
      </c>
      <c r="E220" s="6">
        <f>0.75*0.75*0.85*10</f>
        <v>4.78125</v>
      </c>
      <c r="G220" s="83">
        <f>E220*F220</f>
        <v>0</v>
      </c>
    </row>
    <row r="221" spans="1:7" s="28" customFormat="1" x14ac:dyDescent="0.25">
      <c r="A221" s="79"/>
      <c r="B221" s="79"/>
      <c r="E221" s="9"/>
      <c r="G221" s="83"/>
    </row>
    <row r="222" spans="1:7" ht="38.25" x14ac:dyDescent="0.25">
      <c r="A222" s="30">
        <f>A216</f>
        <v>7</v>
      </c>
      <c r="B222" s="30">
        <f>B218+1</f>
        <v>2</v>
      </c>
      <c r="C222" s="3" t="s">
        <v>208</v>
      </c>
    </row>
    <row r="223" spans="1:7" x14ac:dyDescent="0.25">
      <c r="A223" s="30"/>
      <c r="B223" s="30"/>
      <c r="C223" s="3" t="s">
        <v>40</v>
      </c>
    </row>
    <row r="224" spans="1:7" x14ac:dyDescent="0.25">
      <c r="A224" s="30"/>
      <c r="B224" s="30"/>
      <c r="D224" s="3" t="s">
        <v>59</v>
      </c>
      <c r="E224" s="6">
        <v>5</v>
      </c>
      <c r="G224" s="33">
        <f>F224*E224</f>
        <v>0</v>
      </c>
    </row>
    <row r="225" spans="1:7" x14ac:dyDescent="0.25">
      <c r="A225" s="30"/>
      <c r="B225" s="30"/>
    </row>
    <row r="226" spans="1:7" ht="25.5" x14ac:dyDescent="0.25">
      <c r="A226" s="30">
        <f>A222</f>
        <v>7</v>
      </c>
      <c r="B226" s="30">
        <f>B222+1</f>
        <v>3</v>
      </c>
      <c r="C226" s="3" t="s">
        <v>104</v>
      </c>
    </row>
    <row r="227" spans="1:7" x14ac:dyDescent="0.25">
      <c r="A227" s="30"/>
      <c r="B227" s="30"/>
      <c r="C227" s="3" t="s">
        <v>44</v>
      </c>
    </row>
    <row r="228" spans="1:7" x14ac:dyDescent="0.25">
      <c r="A228" s="30"/>
      <c r="B228" s="30"/>
      <c r="D228" s="3" t="s">
        <v>45</v>
      </c>
      <c r="E228" s="6">
        <f>5*1</f>
        <v>5</v>
      </c>
      <c r="G228" s="33">
        <f>F228*E228</f>
        <v>0</v>
      </c>
    </row>
    <row r="229" spans="1:7" x14ac:dyDescent="0.25">
      <c r="A229" s="30"/>
      <c r="B229" s="30"/>
    </row>
    <row r="230" spans="1:7" ht="51" x14ac:dyDescent="0.25">
      <c r="A230" s="30">
        <f>A216</f>
        <v>7</v>
      </c>
      <c r="B230" s="30">
        <f>B226+1</f>
        <v>4</v>
      </c>
      <c r="C230" s="3" t="s">
        <v>205</v>
      </c>
    </row>
    <row r="231" spans="1:7" x14ac:dyDescent="0.25">
      <c r="A231" s="30"/>
      <c r="B231" s="30"/>
      <c r="C231" s="3" t="s">
        <v>19</v>
      </c>
    </row>
    <row r="232" spans="1:7" x14ac:dyDescent="0.25">
      <c r="A232" s="30"/>
      <c r="B232" s="30"/>
      <c r="D232" s="3" t="s">
        <v>59</v>
      </c>
      <c r="E232" s="6">
        <v>10</v>
      </c>
      <c r="G232" s="33">
        <f>F232*E232</f>
        <v>0</v>
      </c>
    </row>
    <row r="233" spans="1:7" x14ac:dyDescent="0.25">
      <c r="A233" s="30"/>
      <c r="B233" s="30"/>
    </row>
    <row r="234" spans="1:7" ht="140.25" x14ac:dyDescent="0.25">
      <c r="A234" s="30">
        <f>A216</f>
        <v>7</v>
      </c>
      <c r="B234" s="30">
        <f>B230+1</f>
        <v>5</v>
      </c>
      <c r="C234" s="28" t="s">
        <v>163</v>
      </c>
      <c r="F234" s="3"/>
      <c r="G234" s="3"/>
    </row>
    <row r="235" spans="1:7" x14ac:dyDescent="0.25">
      <c r="A235" s="30"/>
      <c r="B235" s="30"/>
      <c r="C235" s="3" t="s">
        <v>57</v>
      </c>
    </row>
    <row r="236" spans="1:7" x14ac:dyDescent="0.25">
      <c r="A236" s="30"/>
      <c r="B236" s="30"/>
      <c r="D236" s="3" t="s">
        <v>99</v>
      </c>
      <c r="E236" s="6">
        <f>0.75*0.75*0.1*10</f>
        <v>0.5625</v>
      </c>
      <c r="G236" s="33">
        <f>F236*E236</f>
        <v>0</v>
      </c>
    </row>
    <row r="238" spans="1:7" ht="25.5" x14ac:dyDescent="0.25">
      <c r="A238" s="30">
        <f>A234</f>
        <v>7</v>
      </c>
      <c r="B238" s="30">
        <f>B234+1</f>
        <v>6</v>
      </c>
      <c r="C238" s="40" t="s">
        <v>159</v>
      </c>
      <c r="F238" s="3"/>
      <c r="G238" s="3"/>
    </row>
    <row r="239" spans="1:7" x14ac:dyDescent="0.25">
      <c r="A239" s="30"/>
      <c r="B239" s="30"/>
      <c r="C239" s="3" t="s">
        <v>57</v>
      </c>
    </row>
    <row r="240" spans="1:7" x14ac:dyDescent="0.25">
      <c r="A240" s="30"/>
      <c r="B240" s="30"/>
      <c r="D240" s="3" t="s">
        <v>99</v>
      </c>
      <c r="E240" s="6">
        <f>0.75*0.75*0.05*10</f>
        <v>0.28125</v>
      </c>
      <c r="G240" s="33">
        <f>F240*E240</f>
        <v>0</v>
      </c>
    </row>
    <row r="242" spans="1:7" ht="51" x14ac:dyDescent="0.25">
      <c r="A242" s="30">
        <f>A216</f>
        <v>7</v>
      </c>
      <c r="B242" s="30">
        <f>B238+1</f>
        <v>7</v>
      </c>
      <c r="C242" s="28" t="s">
        <v>209</v>
      </c>
    </row>
    <row r="243" spans="1:7" x14ac:dyDescent="0.25">
      <c r="A243" s="30"/>
      <c r="B243" s="30"/>
      <c r="C243" s="3" t="s">
        <v>57</v>
      </c>
    </row>
    <row r="244" spans="1:7" x14ac:dyDescent="0.25">
      <c r="A244" s="30"/>
      <c r="B244" s="30"/>
      <c r="D244" s="3" t="s">
        <v>99</v>
      </c>
      <c r="E244" s="6">
        <f>0.45*0.45*0.7*10</f>
        <v>1.4175</v>
      </c>
      <c r="G244" s="33">
        <f>F244*E244</f>
        <v>0</v>
      </c>
    </row>
    <row r="245" spans="1:7" x14ac:dyDescent="0.25">
      <c r="A245" s="30"/>
      <c r="B245" s="30"/>
    </row>
    <row r="246" spans="1:7" ht="318.75" x14ac:dyDescent="0.25">
      <c r="A246" s="30">
        <f>A242</f>
        <v>7</v>
      </c>
      <c r="B246" s="30">
        <f>B242+1</f>
        <v>8</v>
      </c>
      <c r="C246" s="3" t="s">
        <v>15</v>
      </c>
    </row>
    <row r="247" spans="1:7" x14ac:dyDescent="0.25">
      <c r="A247" s="30"/>
      <c r="B247" s="30"/>
      <c r="C247" s="3" t="s">
        <v>41</v>
      </c>
    </row>
    <row r="248" spans="1:7" x14ac:dyDescent="0.25">
      <c r="A248" s="30"/>
      <c r="B248" s="30"/>
      <c r="D248" s="3" t="s">
        <v>42</v>
      </c>
      <c r="E248" s="6">
        <f>E244*95</f>
        <v>134.66249999999999</v>
      </c>
      <c r="G248" s="33">
        <f>F248*E248</f>
        <v>0</v>
      </c>
    </row>
    <row r="249" spans="1:7" x14ac:dyDescent="0.25">
      <c r="A249" s="30"/>
      <c r="B249" s="30"/>
    </row>
    <row r="250" spans="1:7" s="24" customFormat="1" x14ac:dyDescent="0.25">
      <c r="A250" s="23"/>
      <c r="B250" s="23"/>
      <c r="C250" s="17" t="s">
        <v>90</v>
      </c>
      <c r="D250" s="2"/>
      <c r="E250" s="18"/>
      <c r="F250" s="43"/>
      <c r="G250" s="36">
        <f>SUM(G218:G249)</f>
        <v>0</v>
      </c>
    </row>
    <row r="251" spans="1:7" s="24" customFormat="1" x14ac:dyDescent="0.25">
      <c r="A251" s="23"/>
      <c r="B251" s="23"/>
      <c r="E251" s="25"/>
      <c r="F251" s="39"/>
      <c r="G251" s="39"/>
    </row>
    <row r="252" spans="1:7" s="5" customFormat="1" ht="15" x14ac:dyDescent="0.25">
      <c r="A252" s="114">
        <f>A216+1</f>
        <v>8</v>
      </c>
      <c r="B252" s="114"/>
      <c r="C252" s="26" t="s">
        <v>63</v>
      </c>
      <c r="D252" s="76"/>
      <c r="E252" s="8"/>
      <c r="F252" s="35"/>
      <c r="G252" s="35"/>
    </row>
    <row r="253" spans="1:7" x14ac:dyDescent="0.25">
      <c r="A253" s="30"/>
      <c r="B253" s="30"/>
    </row>
    <row r="254" spans="1:7" s="28" customFormat="1" ht="216.75" x14ac:dyDescent="0.25">
      <c r="A254" s="79">
        <f>A252</f>
        <v>8</v>
      </c>
      <c r="B254" s="79">
        <v>1</v>
      </c>
      <c r="C254" s="74" t="s">
        <v>237</v>
      </c>
      <c r="E254" s="9"/>
    </row>
    <row r="255" spans="1:7" s="28" customFormat="1" ht="25.5" x14ac:dyDescent="0.25">
      <c r="A255" s="79"/>
      <c r="B255" s="79"/>
      <c r="C255" s="28" t="s">
        <v>20</v>
      </c>
      <c r="E255" s="9"/>
    </row>
    <row r="256" spans="1:7" s="28" customFormat="1" ht="15" x14ac:dyDescent="0.25">
      <c r="A256" s="79"/>
      <c r="B256" s="79"/>
      <c r="D256" s="28" t="s">
        <v>165</v>
      </c>
      <c r="E256" s="6">
        <f>1*2.38*1.15</f>
        <v>2.7369999999999997</v>
      </c>
      <c r="G256" s="83">
        <f>E256*F256</f>
        <v>0</v>
      </c>
    </row>
    <row r="257" spans="1:7" s="28" customFormat="1" x14ac:dyDescent="0.25">
      <c r="A257" s="79"/>
      <c r="B257" s="79"/>
      <c r="E257" s="9"/>
      <c r="G257" s="83"/>
    </row>
    <row r="258" spans="1:7" ht="51" x14ac:dyDescent="0.25">
      <c r="A258" s="30">
        <f>A252</f>
        <v>8</v>
      </c>
      <c r="B258" s="30">
        <f>B254+1</f>
        <v>2</v>
      </c>
      <c r="C258" s="3" t="s">
        <v>103</v>
      </c>
    </row>
    <row r="259" spans="1:7" x14ac:dyDescent="0.25">
      <c r="A259" s="30"/>
      <c r="B259" s="30"/>
      <c r="C259" s="3" t="s">
        <v>44</v>
      </c>
    </row>
    <row r="260" spans="1:7" x14ac:dyDescent="0.25">
      <c r="A260" s="30"/>
      <c r="B260" s="30"/>
      <c r="D260" s="3" t="s">
        <v>45</v>
      </c>
      <c r="E260" s="6">
        <f>3*2</f>
        <v>6</v>
      </c>
      <c r="G260" s="33">
        <f>F260*E260</f>
        <v>0</v>
      </c>
    </row>
    <row r="261" spans="1:7" x14ac:dyDescent="0.25">
      <c r="A261" s="30"/>
      <c r="B261" s="30"/>
    </row>
    <row r="262" spans="1:7" ht="25.5" x14ac:dyDescent="0.25">
      <c r="A262" s="30">
        <f>A258</f>
        <v>8</v>
      </c>
      <c r="B262" s="30">
        <f>B258+1</f>
        <v>3</v>
      </c>
      <c r="C262" s="3" t="s">
        <v>104</v>
      </c>
    </row>
    <row r="263" spans="1:7" x14ac:dyDescent="0.25">
      <c r="A263" s="30"/>
      <c r="B263" s="30"/>
      <c r="C263" s="3" t="s">
        <v>44</v>
      </c>
    </row>
    <row r="264" spans="1:7" x14ac:dyDescent="0.25">
      <c r="A264" s="30"/>
      <c r="B264" s="30"/>
      <c r="D264" s="3" t="s">
        <v>45</v>
      </c>
      <c r="E264" s="6">
        <f>2*3</f>
        <v>6</v>
      </c>
      <c r="G264" s="33">
        <f>F264*E264</f>
        <v>0</v>
      </c>
    </row>
    <row r="265" spans="1:7" x14ac:dyDescent="0.25">
      <c r="A265" s="30"/>
      <c r="B265" s="30"/>
    </row>
    <row r="266" spans="1:7" ht="38.25" x14ac:dyDescent="0.25">
      <c r="A266" s="30">
        <f>A252</f>
        <v>8</v>
      </c>
      <c r="B266" s="30">
        <f>B262+1</f>
        <v>4</v>
      </c>
      <c r="C266" s="28" t="s">
        <v>222</v>
      </c>
    </row>
    <row r="267" spans="1:7" x14ac:dyDescent="0.25">
      <c r="A267" s="30"/>
      <c r="B267" s="30"/>
      <c r="C267" s="3" t="s">
        <v>41</v>
      </c>
    </row>
    <row r="268" spans="1:7" x14ac:dyDescent="0.25">
      <c r="A268" s="30"/>
      <c r="B268" s="30"/>
      <c r="D268" s="3" t="s">
        <v>42</v>
      </c>
      <c r="E268" s="6">
        <f>19.9*3*3.1</f>
        <v>185.07</v>
      </c>
      <c r="G268" s="33">
        <f>F268*E268</f>
        <v>0</v>
      </c>
    </row>
    <row r="269" spans="1:7" x14ac:dyDescent="0.25">
      <c r="A269" s="30"/>
      <c r="B269" s="30"/>
    </row>
    <row r="270" spans="1:7" ht="140.25" x14ac:dyDescent="0.25">
      <c r="A270" s="30">
        <f>A252</f>
        <v>8</v>
      </c>
      <c r="B270" s="30">
        <f>B266+1</f>
        <v>5</v>
      </c>
      <c r="C270" s="28" t="s">
        <v>163</v>
      </c>
      <c r="F270" s="3"/>
      <c r="G270" s="3"/>
    </row>
    <row r="271" spans="1:7" x14ac:dyDescent="0.25">
      <c r="A271" s="30"/>
      <c r="B271" s="30"/>
      <c r="C271" s="3" t="s">
        <v>57</v>
      </c>
    </row>
    <row r="272" spans="1:7" x14ac:dyDescent="0.25">
      <c r="A272" s="30"/>
      <c r="B272" s="30"/>
      <c r="D272" s="3" t="s">
        <v>99</v>
      </c>
      <c r="E272" s="6">
        <f>1*2.38*0.1</f>
        <v>0.23799999999999999</v>
      </c>
      <c r="G272" s="33">
        <f>F272*E272</f>
        <v>0</v>
      </c>
    </row>
    <row r="274" spans="1:7" ht="25.5" x14ac:dyDescent="0.25">
      <c r="A274" s="30">
        <f>A278</f>
        <v>8</v>
      </c>
      <c r="B274" s="30">
        <f>B270+1</f>
        <v>6</v>
      </c>
      <c r="C274" s="40" t="s">
        <v>159</v>
      </c>
      <c r="F274" s="3"/>
      <c r="G274" s="3"/>
    </row>
    <row r="275" spans="1:7" x14ac:dyDescent="0.25">
      <c r="A275" s="30"/>
      <c r="B275" s="30"/>
      <c r="C275" s="3" t="s">
        <v>57</v>
      </c>
    </row>
    <row r="276" spans="1:7" x14ac:dyDescent="0.25">
      <c r="A276" s="30"/>
      <c r="B276" s="30"/>
      <c r="D276" s="3" t="s">
        <v>99</v>
      </c>
      <c r="E276" s="6">
        <f>1*2.38*0.05</f>
        <v>0.11899999999999999</v>
      </c>
      <c r="G276" s="33">
        <f>F276*E276</f>
        <v>0</v>
      </c>
    </row>
    <row r="278" spans="1:7" ht="38.25" x14ac:dyDescent="0.25">
      <c r="A278" s="30">
        <f>A252</f>
        <v>8</v>
      </c>
      <c r="B278" s="30">
        <f>B274+1</f>
        <v>7</v>
      </c>
      <c r="C278" s="28" t="s">
        <v>223</v>
      </c>
    </row>
    <row r="279" spans="1:7" x14ac:dyDescent="0.25">
      <c r="A279" s="30"/>
      <c r="B279" s="30"/>
      <c r="C279" s="3" t="s">
        <v>57</v>
      </c>
    </row>
    <row r="280" spans="1:7" x14ac:dyDescent="0.25">
      <c r="A280" s="30"/>
      <c r="B280" s="30"/>
      <c r="D280" s="3" t="s">
        <v>99</v>
      </c>
      <c r="E280" s="6">
        <f>0.7*2.08*0.8</f>
        <v>1.1648000000000001</v>
      </c>
      <c r="G280" s="33">
        <f>F280*E280</f>
        <v>0</v>
      </c>
    </row>
    <row r="281" spans="1:7" x14ac:dyDescent="0.25">
      <c r="A281" s="30"/>
      <c r="B281" s="30"/>
    </row>
    <row r="282" spans="1:7" ht="140.25" x14ac:dyDescent="0.25">
      <c r="A282" s="30">
        <f>A278</f>
        <v>8</v>
      </c>
      <c r="B282" s="30">
        <f>B278+1</f>
        <v>8</v>
      </c>
      <c r="C282" s="28" t="s">
        <v>163</v>
      </c>
      <c r="F282" s="3"/>
      <c r="G282" s="3"/>
    </row>
    <row r="283" spans="1:7" ht="13.5" customHeight="1" x14ac:dyDescent="0.25">
      <c r="A283" s="30"/>
      <c r="B283" s="30"/>
      <c r="C283" s="3" t="s">
        <v>9</v>
      </c>
      <c r="F283" s="3"/>
      <c r="G283" s="3"/>
    </row>
    <row r="284" spans="1:7" x14ac:dyDescent="0.25">
      <c r="A284" s="30"/>
      <c r="B284" s="30"/>
      <c r="D284" s="3" t="s">
        <v>99</v>
      </c>
      <c r="E284" s="6">
        <f>1*2.18*0.1</f>
        <v>0.21800000000000003</v>
      </c>
      <c r="G284" s="33">
        <f>F284*E284</f>
        <v>0</v>
      </c>
    </row>
    <row r="285" spans="1:7" x14ac:dyDescent="0.25">
      <c r="A285" s="30"/>
      <c r="B285" s="30"/>
    </row>
    <row r="286" spans="1:7" s="40" customFormat="1" ht="25.5" x14ac:dyDescent="0.25">
      <c r="A286" s="53">
        <f>A252</f>
        <v>8</v>
      </c>
      <c r="B286" s="53">
        <f>B282+1</f>
        <v>9</v>
      </c>
      <c r="C286" s="40" t="s">
        <v>159</v>
      </c>
      <c r="E286" s="41"/>
      <c r="F286" s="54"/>
      <c r="G286" s="54"/>
    </row>
    <row r="287" spans="1:7" ht="13.5" customHeight="1" x14ac:dyDescent="0.25">
      <c r="A287" s="30"/>
      <c r="B287" s="30"/>
      <c r="C287" s="3" t="s">
        <v>9</v>
      </c>
      <c r="F287" s="3"/>
      <c r="G287" s="3"/>
    </row>
    <row r="288" spans="1:7" x14ac:dyDescent="0.25">
      <c r="A288" s="30"/>
      <c r="B288" s="30"/>
      <c r="D288" s="3" t="s">
        <v>99</v>
      </c>
      <c r="E288" s="6">
        <f>1*2.18*0.05</f>
        <v>0.10900000000000001</v>
      </c>
      <c r="G288" s="33">
        <f>F288*E288</f>
        <v>0</v>
      </c>
    </row>
    <row r="289" spans="1:7" x14ac:dyDescent="0.25">
      <c r="A289" s="30"/>
      <c r="B289" s="30"/>
    </row>
    <row r="290" spans="1:7" ht="318.75" x14ac:dyDescent="0.25">
      <c r="A290" s="30">
        <f>A266</f>
        <v>8</v>
      </c>
      <c r="B290" s="30">
        <f>B286+1</f>
        <v>10</v>
      </c>
      <c r="C290" s="3" t="s">
        <v>15</v>
      </c>
    </row>
    <row r="291" spans="1:7" x14ac:dyDescent="0.25">
      <c r="A291" s="30"/>
      <c r="B291" s="30"/>
      <c r="C291" s="3" t="s">
        <v>41</v>
      </c>
    </row>
    <row r="292" spans="1:7" x14ac:dyDescent="0.25">
      <c r="A292" s="30"/>
      <c r="B292" s="30"/>
      <c r="D292" s="3" t="s">
        <v>42</v>
      </c>
      <c r="E292" s="6">
        <f>E280*95</f>
        <v>110.65600000000001</v>
      </c>
      <c r="G292" s="33">
        <f>F292*E292</f>
        <v>0</v>
      </c>
    </row>
    <row r="293" spans="1:7" x14ac:dyDescent="0.25">
      <c r="A293" s="30"/>
      <c r="B293" s="30"/>
    </row>
    <row r="294" spans="1:7" ht="204" x14ac:dyDescent="0.25">
      <c r="A294" s="30">
        <f>A252</f>
        <v>8</v>
      </c>
      <c r="B294" s="30">
        <f>B290+1</f>
        <v>11</v>
      </c>
      <c r="C294" s="3" t="s">
        <v>114</v>
      </c>
    </row>
    <row r="295" spans="1:7" x14ac:dyDescent="0.25">
      <c r="A295" s="30"/>
      <c r="B295" s="30"/>
      <c r="C295" s="3" t="s">
        <v>115</v>
      </c>
      <c r="E295" s="3"/>
    </row>
    <row r="296" spans="1:7" x14ac:dyDescent="0.25">
      <c r="A296" s="30"/>
      <c r="B296" s="30"/>
      <c r="D296" s="3" t="s">
        <v>116</v>
      </c>
      <c r="E296" s="6">
        <v>1</v>
      </c>
      <c r="G296" s="33">
        <f>F296*E296</f>
        <v>0</v>
      </c>
    </row>
    <row r="297" spans="1:7" x14ac:dyDescent="0.25">
      <c r="A297" s="30"/>
      <c r="B297" s="30"/>
    </row>
    <row r="298" spans="1:7" ht="153" x14ac:dyDescent="0.25">
      <c r="A298" s="30">
        <f>A294</f>
        <v>8</v>
      </c>
      <c r="B298" s="30">
        <f>B294+1</f>
        <v>12</v>
      </c>
      <c r="C298" s="3" t="s">
        <v>117</v>
      </c>
    </row>
    <row r="299" spans="1:7" x14ac:dyDescent="0.25">
      <c r="A299" s="30"/>
      <c r="B299" s="30"/>
      <c r="C299" s="3" t="s">
        <v>118</v>
      </c>
      <c r="E299" s="3"/>
    </row>
    <row r="300" spans="1:7" ht="11.25" customHeight="1" x14ac:dyDescent="0.25">
      <c r="A300" s="30"/>
      <c r="B300" s="30"/>
      <c r="D300" s="3" t="s">
        <v>119</v>
      </c>
      <c r="E300" s="6">
        <v>4</v>
      </c>
      <c r="G300" s="33">
        <f>F300*E300</f>
        <v>0</v>
      </c>
    </row>
    <row r="301" spans="1:7" x14ac:dyDescent="0.25">
      <c r="A301" s="30"/>
      <c r="B301" s="30"/>
    </row>
    <row r="302" spans="1:7" ht="25.5" x14ac:dyDescent="0.25">
      <c r="A302" s="30">
        <f>A298</f>
        <v>8</v>
      </c>
      <c r="B302" s="30">
        <f>B298+1</f>
        <v>13</v>
      </c>
      <c r="C302" s="3" t="s">
        <v>120</v>
      </c>
    </row>
    <row r="303" spans="1:7" x14ac:dyDescent="0.25">
      <c r="A303" s="30"/>
      <c r="B303" s="30"/>
      <c r="C303" s="3" t="s">
        <v>118</v>
      </c>
      <c r="E303" s="3"/>
    </row>
    <row r="304" spans="1:7" ht="11.25" customHeight="1" x14ac:dyDescent="0.25">
      <c r="A304" s="30"/>
      <c r="B304" s="30"/>
      <c r="D304" s="3" t="s">
        <v>119</v>
      </c>
      <c r="E304" s="6">
        <v>2</v>
      </c>
      <c r="G304" s="33">
        <f>F304*E304</f>
        <v>0</v>
      </c>
    </row>
    <row r="305" spans="1:7" x14ac:dyDescent="0.25">
      <c r="A305" s="30"/>
      <c r="B305" s="30"/>
    </row>
    <row r="306" spans="1:7" ht="76.5" x14ac:dyDescent="0.25">
      <c r="A306" s="30">
        <f>A302</f>
        <v>8</v>
      </c>
      <c r="B306" s="30">
        <f>B302+1</f>
        <v>14</v>
      </c>
      <c r="C306" s="3" t="s">
        <v>121</v>
      </c>
    </row>
    <row r="307" spans="1:7" x14ac:dyDescent="0.25">
      <c r="A307" s="30"/>
      <c r="B307" s="30"/>
      <c r="C307" s="3" t="s">
        <v>47</v>
      </c>
      <c r="E307" s="3"/>
    </row>
    <row r="308" spans="1:7" ht="11.25" customHeight="1" x14ac:dyDescent="0.25">
      <c r="A308" s="30"/>
      <c r="B308" s="30"/>
      <c r="D308" s="3" t="s">
        <v>36</v>
      </c>
      <c r="E308" s="6">
        <v>180</v>
      </c>
      <c r="G308" s="33">
        <f>F308*E308</f>
        <v>0</v>
      </c>
    </row>
    <row r="309" spans="1:7" x14ac:dyDescent="0.25">
      <c r="A309" s="30"/>
      <c r="B309" s="30"/>
    </row>
    <row r="310" spans="1:7" ht="25.5" x14ac:dyDescent="0.25">
      <c r="A310" s="30">
        <f>A306</f>
        <v>8</v>
      </c>
      <c r="B310" s="30">
        <f>B306+1</f>
        <v>15</v>
      </c>
      <c r="C310" s="3" t="s">
        <v>122</v>
      </c>
    </row>
    <row r="311" spans="1:7" x14ac:dyDescent="0.25">
      <c r="A311" s="30"/>
      <c r="B311" s="30"/>
      <c r="C311" s="3" t="s">
        <v>47</v>
      </c>
      <c r="E311" s="3"/>
    </row>
    <row r="312" spans="1:7" ht="11.25" customHeight="1" x14ac:dyDescent="0.25">
      <c r="A312" s="30"/>
      <c r="B312" s="30"/>
      <c r="D312" s="3" t="s">
        <v>36</v>
      </c>
      <c r="E312" s="6">
        <v>180</v>
      </c>
      <c r="G312" s="33">
        <f>F312*E312</f>
        <v>0</v>
      </c>
    </row>
    <row r="313" spans="1:7" x14ac:dyDescent="0.25">
      <c r="A313" s="30"/>
      <c r="B313" s="30"/>
    </row>
    <row r="314" spans="1:7" ht="51" x14ac:dyDescent="0.25">
      <c r="A314" s="30">
        <f>A310</f>
        <v>8</v>
      </c>
      <c r="B314" s="30">
        <f>B310+1</f>
        <v>16</v>
      </c>
      <c r="C314" s="3" t="s">
        <v>123</v>
      </c>
    </row>
    <row r="315" spans="1:7" x14ac:dyDescent="0.25">
      <c r="A315" s="30"/>
      <c r="B315" s="30"/>
      <c r="C315" s="3" t="s">
        <v>115</v>
      </c>
      <c r="E315" s="3"/>
    </row>
    <row r="316" spans="1:7" ht="11.25" customHeight="1" x14ac:dyDescent="0.25">
      <c r="A316" s="30"/>
      <c r="B316" s="30"/>
      <c r="D316" s="3" t="s">
        <v>116</v>
      </c>
      <c r="E316" s="6">
        <v>1</v>
      </c>
      <c r="G316" s="33">
        <f>F316*E316</f>
        <v>0</v>
      </c>
    </row>
    <row r="317" spans="1:7" x14ac:dyDescent="0.25">
      <c r="A317" s="30"/>
      <c r="B317" s="30"/>
    </row>
    <row r="318" spans="1:7" s="24" customFormat="1" x14ac:dyDescent="0.25">
      <c r="A318" s="23"/>
      <c r="B318" s="23"/>
      <c r="C318" s="17" t="s">
        <v>90</v>
      </c>
      <c r="D318" s="2"/>
      <c r="E318" s="18"/>
      <c r="F318" s="43"/>
      <c r="G318" s="36">
        <f>SUM(G254:G317)</f>
        <v>0</v>
      </c>
    </row>
    <row r="320" spans="1:7" s="5" customFormat="1" ht="15" x14ac:dyDescent="0.25">
      <c r="A320" s="114">
        <f>A252+1</f>
        <v>9</v>
      </c>
      <c r="B320" s="114"/>
      <c r="C320" s="27" t="s">
        <v>112</v>
      </c>
      <c r="D320" s="76"/>
      <c r="E320" s="8"/>
      <c r="F320" s="35"/>
      <c r="G320" s="35"/>
    </row>
    <row r="321" spans="1:7" x14ac:dyDescent="0.25">
      <c r="A321" s="30"/>
      <c r="B321" s="30"/>
    </row>
    <row r="322" spans="1:7" s="28" customFormat="1" ht="216.75" x14ac:dyDescent="0.25">
      <c r="A322" s="79">
        <f>A320</f>
        <v>9</v>
      </c>
      <c r="B322" s="79">
        <v>1</v>
      </c>
      <c r="C322" s="74" t="s">
        <v>237</v>
      </c>
      <c r="E322" s="9"/>
    </row>
    <row r="323" spans="1:7" s="28" customFormat="1" ht="25.5" x14ac:dyDescent="0.25">
      <c r="A323" s="79"/>
      <c r="B323" s="79"/>
      <c r="C323" s="28" t="s">
        <v>20</v>
      </c>
      <c r="E323" s="9"/>
    </row>
    <row r="324" spans="1:7" s="28" customFormat="1" ht="15" x14ac:dyDescent="0.25">
      <c r="A324" s="79"/>
      <c r="B324" s="79"/>
      <c r="D324" s="28" t="s">
        <v>165</v>
      </c>
      <c r="E324" s="6">
        <f>0.6*0.6*0.55*2*20</f>
        <v>7.92</v>
      </c>
      <c r="G324" s="83">
        <f>E324*F324</f>
        <v>0</v>
      </c>
    </row>
    <row r="325" spans="1:7" s="28" customFormat="1" x14ac:dyDescent="0.25">
      <c r="A325" s="79"/>
      <c r="B325" s="79"/>
      <c r="E325" s="9"/>
      <c r="G325" s="83"/>
    </row>
    <row r="326" spans="1:7" ht="25.5" x14ac:dyDescent="0.25">
      <c r="A326" s="30">
        <f>A320</f>
        <v>9</v>
      </c>
      <c r="B326" s="30">
        <f>B322+1</f>
        <v>2</v>
      </c>
      <c r="C326" s="3" t="s">
        <v>113</v>
      </c>
    </row>
    <row r="327" spans="1:7" x14ac:dyDescent="0.25">
      <c r="A327" s="30"/>
      <c r="B327" s="30"/>
      <c r="C327" s="3" t="s">
        <v>40</v>
      </c>
    </row>
    <row r="328" spans="1:7" x14ac:dyDescent="0.25">
      <c r="A328" s="30"/>
      <c r="B328" s="30"/>
      <c r="D328" s="3" t="s">
        <v>59</v>
      </c>
      <c r="E328" s="6">
        <v>20</v>
      </c>
      <c r="G328" s="33">
        <f>F328*E328</f>
        <v>0</v>
      </c>
    </row>
    <row r="330" spans="1:7" ht="140.25" x14ac:dyDescent="0.25">
      <c r="A330" s="30">
        <f>A320</f>
        <v>9</v>
      </c>
      <c r="B330" s="30">
        <f>B326+1</f>
        <v>3</v>
      </c>
      <c r="C330" s="28" t="s">
        <v>163</v>
      </c>
      <c r="F330" s="3"/>
      <c r="G330" s="3"/>
    </row>
    <row r="331" spans="1:7" x14ac:dyDescent="0.25">
      <c r="A331" s="30"/>
      <c r="B331" s="30"/>
      <c r="C331" s="3" t="s">
        <v>57</v>
      </c>
    </row>
    <row r="332" spans="1:7" x14ac:dyDescent="0.25">
      <c r="A332" s="30"/>
      <c r="B332" s="30"/>
      <c r="D332" s="3" t="s">
        <v>99</v>
      </c>
      <c r="E332" s="6">
        <f>0.6*0.6*0.1*2*20</f>
        <v>1.44</v>
      </c>
      <c r="G332" s="33">
        <f>F332*E332</f>
        <v>0</v>
      </c>
    </row>
    <row r="334" spans="1:7" ht="25.5" x14ac:dyDescent="0.25">
      <c r="A334" s="30">
        <f>A330</f>
        <v>9</v>
      </c>
      <c r="B334" s="30">
        <f>B330+1</f>
        <v>4</v>
      </c>
      <c r="C334" s="40" t="s">
        <v>159</v>
      </c>
      <c r="F334" s="3"/>
      <c r="G334" s="3"/>
    </row>
    <row r="335" spans="1:7" x14ac:dyDescent="0.25">
      <c r="A335" s="30"/>
      <c r="B335" s="30"/>
      <c r="C335" s="3" t="s">
        <v>57</v>
      </c>
    </row>
    <row r="336" spans="1:7" x14ac:dyDescent="0.25">
      <c r="A336" s="30"/>
      <c r="B336" s="30"/>
      <c r="D336" s="3" t="s">
        <v>99</v>
      </c>
      <c r="E336" s="6">
        <f>0.6*0.6*0.05*2*20</f>
        <v>0.72</v>
      </c>
      <c r="G336" s="33">
        <f>F336*E336</f>
        <v>0</v>
      </c>
    </row>
    <row r="338" spans="1:7" ht="51" x14ac:dyDescent="0.25">
      <c r="A338" s="30">
        <f>A320</f>
        <v>9</v>
      </c>
      <c r="B338" s="30">
        <f>B334+1</f>
        <v>5</v>
      </c>
      <c r="C338" s="28" t="s">
        <v>210</v>
      </c>
    </row>
    <row r="339" spans="1:7" x14ac:dyDescent="0.25">
      <c r="A339" s="30"/>
      <c r="B339" s="30"/>
      <c r="C339" s="3" t="s">
        <v>57</v>
      </c>
    </row>
    <row r="340" spans="1:7" x14ac:dyDescent="0.25">
      <c r="A340" s="30"/>
      <c r="B340" s="30"/>
      <c r="D340" s="3" t="s">
        <v>99</v>
      </c>
      <c r="E340" s="6">
        <f>0.3*0.3*0.4*40</f>
        <v>1.44</v>
      </c>
      <c r="G340" s="33">
        <f>F340*E340</f>
        <v>0</v>
      </c>
    </row>
    <row r="342" spans="1:7" ht="318.75" x14ac:dyDescent="0.25">
      <c r="A342" s="30">
        <f>A338</f>
        <v>9</v>
      </c>
      <c r="B342" s="30">
        <f>B338+1</f>
        <v>6</v>
      </c>
      <c r="C342" s="3" t="s">
        <v>15</v>
      </c>
    </row>
    <row r="343" spans="1:7" x14ac:dyDescent="0.25">
      <c r="A343" s="30"/>
      <c r="B343" s="30"/>
      <c r="C343" s="3" t="s">
        <v>41</v>
      </c>
    </row>
    <row r="344" spans="1:7" x14ac:dyDescent="0.25">
      <c r="A344" s="30"/>
      <c r="B344" s="30"/>
      <c r="D344" s="3" t="s">
        <v>42</v>
      </c>
      <c r="E344" s="6">
        <f>E340*95</f>
        <v>136.79999999999998</v>
      </c>
      <c r="G344" s="33">
        <f>F344*E344</f>
        <v>0</v>
      </c>
    </row>
    <row r="345" spans="1:7" x14ac:dyDescent="0.25">
      <c r="A345" s="30"/>
      <c r="B345" s="30"/>
    </row>
    <row r="346" spans="1:7" s="24" customFormat="1" x14ac:dyDescent="0.25">
      <c r="A346" s="23"/>
      <c r="B346" s="23"/>
      <c r="C346" s="17" t="s">
        <v>90</v>
      </c>
      <c r="D346" s="2"/>
      <c r="E346" s="18"/>
      <c r="F346" s="43"/>
      <c r="G346" s="36">
        <f>SUM(G322:G345)</f>
        <v>0</v>
      </c>
    </row>
    <row r="347" spans="1:7" s="24" customFormat="1" x14ac:dyDescent="0.25">
      <c r="A347" s="23"/>
      <c r="B347" s="23"/>
      <c r="C347" s="17"/>
      <c r="D347" s="2"/>
      <c r="E347" s="18"/>
      <c r="F347" s="43"/>
      <c r="G347" s="36"/>
    </row>
    <row r="348" spans="1:7" s="5" customFormat="1" ht="15" x14ac:dyDescent="0.25">
      <c r="A348" s="114">
        <f>A320+1</f>
        <v>10</v>
      </c>
      <c r="B348" s="114"/>
      <c r="C348" s="75" t="s">
        <v>110</v>
      </c>
      <c r="D348" s="76"/>
      <c r="E348" s="8"/>
      <c r="F348" s="35"/>
      <c r="G348" s="35"/>
    </row>
    <row r="349" spans="1:7" x14ac:dyDescent="0.25">
      <c r="A349" s="30"/>
      <c r="B349" s="30"/>
    </row>
    <row r="350" spans="1:7" ht="25.5" x14ac:dyDescent="0.25">
      <c r="A350" s="30">
        <f>A348</f>
        <v>10</v>
      </c>
      <c r="B350" s="30">
        <v>1</v>
      </c>
      <c r="C350" s="3" t="s">
        <v>111</v>
      </c>
    </row>
    <row r="351" spans="1:7" x14ac:dyDescent="0.25">
      <c r="A351" s="30"/>
      <c r="B351" s="30"/>
      <c r="C351" s="3" t="s">
        <v>40</v>
      </c>
    </row>
    <row r="352" spans="1:7" x14ac:dyDescent="0.25">
      <c r="A352" s="30"/>
      <c r="B352" s="30"/>
      <c r="D352" s="3" t="s">
        <v>59</v>
      </c>
      <c r="E352" s="6">
        <v>6</v>
      </c>
      <c r="G352" s="33">
        <f>F352*E352</f>
        <v>0</v>
      </c>
    </row>
    <row r="354" spans="1:7" s="28" customFormat="1" ht="216.75" x14ac:dyDescent="0.25">
      <c r="A354" s="79">
        <f>A350</f>
        <v>10</v>
      </c>
      <c r="B354" s="79">
        <f>B350+1</f>
        <v>2</v>
      </c>
      <c r="C354" s="74" t="s">
        <v>237</v>
      </c>
      <c r="E354" s="9"/>
    </row>
    <row r="355" spans="1:7" s="28" customFormat="1" ht="25.5" x14ac:dyDescent="0.25">
      <c r="A355" s="79"/>
      <c r="B355" s="79"/>
      <c r="C355" s="28" t="s">
        <v>20</v>
      </c>
      <c r="E355" s="9"/>
    </row>
    <row r="356" spans="1:7" s="28" customFormat="1" ht="15" x14ac:dyDescent="0.25">
      <c r="A356" s="79"/>
      <c r="B356" s="79"/>
      <c r="D356" s="28" t="s">
        <v>165</v>
      </c>
      <c r="E356" s="6">
        <f>0.6*0.7*0.55*2*6</f>
        <v>2.7720000000000002</v>
      </c>
      <c r="G356" s="83">
        <f>E356*F356</f>
        <v>0</v>
      </c>
    </row>
    <row r="357" spans="1:7" s="28" customFormat="1" x14ac:dyDescent="0.25">
      <c r="A357" s="79"/>
      <c r="B357" s="79"/>
      <c r="E357" s="9"/>
      <c r="G357" s="83"/>
    </row>
    <row r="358" spans="1:7" ht="140.25" x14ac:dyDescent="0.25">
      <c r="A358" s="30">
        <f>A354</f>
        <v>10</v>
      </c>
      <c r="B358" s="30">
        <f>B354+1</f>
        <v>3</v>
      </c>
      <c r="C358" s="28" t="s">
        <v>163</v>
      </c>
      <c r="F358" s="3"/>
      <c r="G358" s="3"/>
    </row>
    <row r="359" spans="1:7" x14ac:dyDescent="0.25">
      <c r="A359" s="30"/>
      <c r="B359" s="30"/>
      <c r="C359" s="3" t="s">
        <v>57</v>
      </c>
    </row>
    <row r="360" spans="1:7" x14ac:dyDescent="0.25">
      <c r="A360" s="30"/>
      <c r="B360" s="30"/>
      <c r="D360" s="3" t="s">
        <v>99</v>
      </c>
      <c r="E360" s="6">
        <f>0.6*0.7*0.1*2*6</f>
        <v>0.504</v>
      </c>
      <c r="G360" s="33">
        <f>F360*E360</f>
        <v>0</v>
      </c>
    </row>
    <row r="362" spans="1:7" ht="25.5" x14ac:dyDescent="0.25">
      <c r="A362" s="30">
        <f>A358</f>
        <v>10</v>
      </c>
      <c r="B362" s="30">
        <f>B358+1</f>
        <v>4</v>
      </c>
      <c r="C362" s="40" t="s">
        <v>159</v>
      </c>
      <c r="F362" s="3"/>
      <c r="G362" s="3"/>
    </row>
    <row r="363" spans="1:7" x14ac:dyDescent="0.25">
      <c r="A363" s="30"/>
      <c r="B363" s="30"/>
      <c r="C363" s="3" t="s">
        <v>57</v>
      </c>
    </row>
    <row r="364" spans="1:7" x14ac:dyDescent="0.25">
      <c r="A364" s="30"/>
      <c r="B364" s="30"/>
      <c r="D364" s="3" t="s">
        <v>99</v>
      </c>
      <c r="E364" s="6">
        <f>0.6*0.7*0.05*2*6</f>
        <v>0.252</v>
      </c>
      <c r="G364" s="33">
        <f>F364*E364</f>
        <v>0</v>
      </c>
    </row>
    <row r="366" spans="1:7" ht="38.25" x14ac:dyDescent="0.25">
      <c r="A366" s="30">
        <f>A350</f>
        <v>10</v>
      </c>
      <c r="B366" s="30">
        <f>B362+1</f>
        <v>5</v>
      </c>
      <c r="C366" s="28" t="s">
        <v>224</v>
      </c>
    </row>
    <row r="367" spans="1:7" x14ac:dyDescent="0.25">
      <c r="A367" s="30"/>
      <c r="B367" s="30"/>
      <c r="C367" s="3" t="s">
        <v>57</v>
      </c>
    </row>
    <row r="368" spans="1:7" x14ac:dyDescent="0.25">
      <c r="A368" s="30"/>
      <c r="B368" s="30"/>
      <c r="D368" s="3" t="s">
        <v>99</v>
      </c>
      <c r="E368" s="6">
        <f>0.3*0.4*0.4*2*E352</f>
        <v>0.57600000000000007</v>
      </c>
      <c r="G368" s="33">
        <f>F368*E368</f>
        <v>0</v>
      </c>
    </row>
    <row r="370" spans="1:7" ht="318.75" x14ac:dyDescent="0.25">
      <c r="A370" s="30">
        <f>A366</f>
        <v>10</v>
      </c>
      <c r="B370" s="30">
        <f>B366+1</f>
        <v>6</v>
      </c>
      <c r="C370" s="3" t="s">
        <v>15</v>
      </c>
    </row>
    <row r="371" spans="1:7" x14ac:dyDescent="0.25">
      <c r="A371" s="30"/>
      <c r="B371" s="30"/>
      <c r="C371" s="3" t="s">
        <v>41</v>
      </c>
    </row>
    <row r="372" spans="1:7" x14ac:dyDescent="0.25">
      <c r="A372" s="30"/>
      <c r="B372" s="30"/>
      <c r="D372" s="3" t="s">
        <v>42</v>
      </c>
      <c r="E372" s="6">
        <f>E368*95</f>
        <v>54.720000000000006</v>
      </c>
      <c r="G372" s="33">
        <f>F372*E372</f>
        <v>0</v>
      </c>
    </row>
    <row r="373" spans="1:7" x14ac:dyDescent="0.25">
      <c r="A373" s="30"/>
      <c r="B373" s="30"/>
    </row>
    <row r="374" spans="1:7" ht="25.5" x14ac:dyDescent="0.25">
      <c r="A374" s="30">
        <f>A348</f>
        <v>10</v>
      </c>
      <c r="B374" s="30">
        <f>B370+1</f>
        <v>7</v>
      </c>
      <c r="C374" s="3" t="s">
        <v>211</v>
      </c>
    </row>
    <row r="375" spans="1:7" x14ac:dyDescent="0.25">
      <c r="A375" s="30"/>
      <c r="B375" s="30"/>
      <c r="C375" s="3" t="s">
        <v>40</v>
      </c>
    </row>
    <row r="376" spans="1:7" x14ac:dyDescent="0.25">
      <c r="A376" s="30"/>
      <c r="B376" s="30"/>
      <c r="D376" s="3" t="s">
        <v>59</v>
      </c>
      <c r="E376" s="6">
        <v>2</v>
      </c>
      <c r="G376" s="33">
        <f>F376*E376</f>
        <v>0</v>
      </c>
    </row>
    <row r="378" spans="1:7" s="28" customFormat="1" ht="216.75" x14ac:dyDescent="0.25">
      <c r="A378" s="79">
        <f>A374</f>
        <v>10</v>
      </c>
      <c r="B378" s="79">
        <f>B374+1</f>
        <v>8</v>
      </c>
      <c r="C378" s="74" t="s">
        <v>237</v>
      </c>
      <c r="E378" s="9"/>
    </row>
    <row r="379" spans="1:7" s="28" customFormat="1" ht="25.5" x14ac:dyDescent="0.25">
      <c r="A379" s="79"/>
      <c r="B379" s="79"/>
      <c r="C379" s="28" t="s">
        <v>20</v>
      </c>
      <c r="E379" s="9"/>
    </row>
    <row r="380" spans="1:7" s="28" customFormat="1" ht="15" x14ac:dyDescent="0.25">
      <c r="A380" s="79"/>
      <c r="B380" s="79"/>
      <c r="D380" s="28" t="s">
        <v>165</v>
      </c>
      <c r="E380" s="6">
        <f>1.8*2.15*0.4*2</f>
        <v>3.0960000000000001</v>
      </c>
      <c r="G380" s="83">
        <f>E380*F380</f>
        <v>0</v>
      </c>
    </row>
    <row r="381" spans="1:7" s="28" customFormat="1" x14ac:dyDescent="0.25">
      <c r="A381" s="79"/>
      <c r="B381" s="79"/>
      <c r="E381" s="9"/>
      <c r="G381" s="83"/>
    </row>
    <row r="382" spans="1:7" ht="140.25" x14ac:dyDescent="0.25">
      <c r="A382" s="30">
        <f>A378</f>
        <v>10</v>
      </c>
      <c r="B382" s="30">
        <f>B378+1</f>
        <v>9</v>
      </c>
      <c r="C382" s="28" t="s">
        <v>163</v>
      </c>
      <c r="F382" s="3"/>
      <c r="G382" s="3"/>
    </row>
    <row r="383" spans="1:7" x14ac:dyDescent="0.25">
      <c r="A383" s="30"/>
      <c r="B383" s="30"/>
      <c r="C383" s="3" t="s">
        <v>57</v>
      </c>
    </row>
    <row r="384" spans="1:7" x14ac:dyDescent="0.25">
      <c r="A384" s="30"/>
      <c r="B384" s="30"/>
      <c r="D384" s="3" t="s">
        <v>99</v>
      </c>
      <c r="E384" s="6">
        <f>1.8*2.15*0.1*2</f>
        <v>0.77400000000000002</v>
      </c>
      <c r="G384" s="33">
        <f>F384*E384</f>
        <v>0</v>
      </c>
    </row>
    <row r="386" spans="1:7" ht="25.5" x14ac:dyDescent="0.25">
      <c r="A386" s="30">
        <f>A382</f>
        <v>10</v>
      </c>
      <c r="B386" s="30">
        <f>B382+1</f>
        <v>10</v>
      </c>
      <c r="C386" s="40" t="s">
        <v>159</v>
      </c>
      <c r="F386" s="3"/>
      <c r="G386" s="3"/>
    </row>
    <row r="387" spans="1:7" x14ac:dyDescent="0.25">
      <c r="A387" s="30"/>
      <c r="B387" s="30"/>
      <c r="C387" s="3" t="s">
        <v>57</v>
      </c>
    </row>
    <row r="388" spans="1:7" x14ac:dyDescent="0.25">
      <c r="A388" s="30"/>
      <c r="B388" s="30"/>
      <c r="D388" s="3" t="s">
        <v>99</v>
      </c>
      <c r="E388" s="6">
        <f>1.8*2.15*0.05*2</f>
        <v>0.38700000000000001</v>
      </c>
      <c r="G388" s="33">
        <f>F388*E388</f>
        <v>0</v>
      </c>
    </row>
    <row r="390" spans="1:7" ht="38.25" x14ac:dyDescent="0.25">
      <c r="A390" s="30">
        <f>A374</f>
        <v>10</v>
      </c>
      <c r="B390" s="30">
        <f>B386+1</f>
        <v>11</v>
      </c>
      <c r="C390" s="28" t="s">
        <v>225</v>
      </c>
    </row>
    <row r="391" spans="1:7" x14ac:dyDescent="0.25">
      <c r="A391" s="30"/>
      <c r="B391" s="30"/>
      <c r="C391" s="3" t="s">
        <v>57</v>
      </c>
    </row>
    <row r="392" spans="1:7" x14ac:dyDescent="0.25">
      <c r="A392" s="30"/>
      <c r="B392" s="30"/>
      <c r="D392" s="3" t="s">
        <v>99</v>
      </c>
      <c r="E392" s="6">
        <f>1.5*1.85*0.25*2</f>
        <v>1.3875000000000002</v>
      </c>
      <c r="G392" s="33">
        <f>F392*E392</f>
        <v>0</v>
      </c>
    </row>
    <row r="394" spans="1:7" ht="318.75" x14ac:dyDescent="0.25">
      <c r="A394" s="30">
        <f>A390</f>
        <v>10</v>
      </c>
      <c r="B394" s="30">
        <f>B390+1</f>
        <v>12</v>
      </c>
      <c r="C394" s="3" t="s">
        <v>15</v>
      </c>
    </row>
    <row r="395" spans="1:7" x14ac:dyDescent="0.25">
      <c r="A395" s="30"/>
      <c r="B395" s="30"/>
      <c r="C395" s="3" t="s">
        <v>41</v>
      </c>
    </row>
    <row r="396" spans="1:7" x14ac:dyDescent="0.25">
      <c r="A396" s="30"/>
      <c r="B396" s="30"/>
      <c r="D396" s="3" t="s">
        <v>42</v>
      </c>
      <c r="E396" s="6">
        <f>E392*95</f>
        <v>131.81250000000003</v>
      </c>
      <c r="G396" s="33">
        <f>F396*E396</f>
        <v>0</v>
      </c>
    </row>
    <row r="397" spans="1:7" x14ac:dyDescent="0.25">
      <c r="A397" s="30"/>
      <c r="B397" s="30"/>
    </row>
    <row r="398" spans="1:7" s="24" customFormat="1" x14ac:dyDescent="0.25">
      <c r="A398" s="23"/>
      <c r="B398" s="23"/>
      <c r="C398" s="17" t="s">
        <v>90</v>
      </c>
      <c r="D398" s="2"/>
      <c r="E398" s="18"/>
      <c r="F398" s="43"/>
      <c r="G398" s="36">
        <f>SUM(G350:G397)</f>
        <v>0</v>
      </c>
    </row>
    <row r="399" spans="1:7" s="24" customFormat="1" x14ac:dyDescent="0.25">
      <c r="A399" s="23"/>
      <c r="B399" s="23"/>
      <c r="C399" s="17"/>
      <c r="D399" s="2"/>
      <c r="E399" s="18"/>
      <c r="F399" s="43"/>
      <c r="G399" s="36"/>
    </row>
    <row r="400" spans="1:7" s="5" customFormat="1" ht="15" x14ac:dyDescent="0.25">
      <c r="A400" s="115" t="s">
        <v>17</v>
      </c>
      <c r="B400" s="115"/>
      <c r="C400" s="115"/>
      <c r="D400" s="115"/>
      <c r="E400" s="115"/>
      <c r="F400" s="115"/>
      <c r="G400" s="115"/>
    </row>
    <row r="402" spans="1:7" ht="25.5" x14ac:dyDescent="0.25">
      <c r="B402" s="12">
        <v>1</v>
      </c>
      <c r="C402" s="3" t="str">
        <f>C6</f>
        <v>IZGRADNJA BICIKLISTIČKOG MOSTA IZNAD OŠTEČENOG NASIPA</v>
      </c>
      <c r="G402" s="33">
        <f>G37</f>
        <v>0</v>
      </c>
    </row>
    <row r="403" spans="1:7" x14ac:dyDescent="0.25">
      <c r="B403" s="12">
        <f t="shared" ref="B403:B404" si="0">B402+1</f>
        <v>2</v>
      </c>
      <c r="C403" s="3" t="str">
        <f>C39</f>
        <v>IZGRADNJA OBILAZNICE</v>
      </c>
      <c r="G403" s="33">
        <f>G78</f>
        <v>0</v>
      </c>
    </row>
    <row r="404" spans="1:7" ht="26.25" customHeight="1" x14ac:dyDescent="0.25">
      <c r="B404" s="12">
        <f t="shared" si="0"/>
        <v>3</v>
      </c>
      <c r="C404" s="3" t="str">
        <f>C80</f>
        <v>IZGRADNJA NOVOG KOLNIKA ŽELJEZNIČKOG MOSTA</v>
      </c>
      <c r="G404" s="33">
        <f>G98</f>
        <v>0</v>
      </c>
    </row>
    <row r="405" spans="1:7" x14ac:dyDescent="0.25">
      <c r="B405" s="12">
        <f t="shared" ref="B405:B411" si="1">B404+1</f>
        <v>4</v>
      </c>
      <c r="C405" s="3" t="str">
        <f>C100</f>
        <v>RADOVI NA KOLNIKU</v>
      </c>
      <c r="G405" s="33">
        <f>G146</f>
        <v>0</v>
      </c>
    </row>
    <row r="406" spans="1:7" x14ac:dyDescent="0.25">
      <c r="B406" s="12">
        <f t="shared" si="1"/>
        <v>5</v>
      </c>
      <c r="C406" s="3" t="str">
        <f>C148</f>
        <v>SMJEROKAZ</v>
      </c>
      <c r="G406" s="33">
        <f>G178</f>
        <v>0</v>
      </c>
    </row>
    <row r="407" spans="1:7" x14ac:dyDescent="0.25">
      <c r="B407" s="12">
        <f t="shared" si="1"/>
        <v>6</v>
      </c>
      <c r="C407" s="3" t="str">
        <f>C180</f>
        <v>INFO TABLA</v>
      </c>
      <c r="G407" s="33">
        <f>G214</f>
        <v>0</v>
      </c>
    </row>
    <row r="408" spans="1:7" x14ac:dyDescent="0.25">
      <c r="B408" s="12">
        <f t="shared" si="1"/>
        <v>7</v>
      </c>
      <c r="C408" s="3" t="str">
        <f>C216</f>
        <v>TABLA VIDIKOVCA</v>
      </c>
      <c r="G408" s="33">
        <f>G250</f>
        <v>0</v>
      </c>
    </row>
    <row r="409" spans="1:7" x14ac:dyDescent="0.25">
      <c r="B409" s="12">
        <f t="shared" si="1"/>
        <v>8</v>
      </c>
      <c r="C409" s="3" t="str">
        <f>C252</f>
        <v>IG-SPOT</v>
      </c>
      <c r="G409" s="33">
        <f>G318</f>
        <v>0</v>
      </c>
    </row>
    <row r="410" spans="1:7" x14ac:dyDescent="0.25">
      <c r="B410" s="12">
        <f t="shared" si="1"/>
        <v>9</v>
      </c>
      <c r="C410" s="3" t="s">
        <v>112</v>
      </c>
      <c r="G410" s="33">
        <f>G346</f>
        <v>0</v>
      </c>
    </row>
    <row r="411" spans="1:7" x14ac:dyDescent="0.25">
      <c r="B411" s="12">
        <f t="shared" si="1"/>
        <v>10</v>
      </c>
      <c r="C411" s="3" t="s">
        <v>110</v>
      </c>
      <c r="G411" s="33">
        <f>G398</f>
        <v>0</v>
      </c>
    </row>
    <row r="413" spans="1:7" s="10" customFormat="1" x14ac:dyDescent="0.25">
      <c r="A413" s="13"/>
      <c r="B413" s="13"/>
      <c r="C413" s="10" t="s">
        <v>65</v>
      </c>
      <c r="D413" s="3"/>
      <c r="E413" s="11"/>
      <c r="F413" s="36"/>
      <c r="G413" s="36">
        <f>SUM(G402:G411)</f>
        <v>0</v>
      </c>
    </row>
  </sheetData>
  <mergeCells count="14">
    <mergeCell ref="A80:B80"/>
    <mergeCell ref="A100:B100"/>
    <mergeCell ref="A400:G400"/>
    <mergeCell ref="A1:G1"/>
    <mergeCell ref="A2:G2"/>
    <mergeCell ref="A4:B4"/>
    <mergeCell ref="A6:B6"/>
    <mergeCell ref="A39:B39"/>
    <mergeCell ref="A148:B148"/>
    <mergeCell ref="A180:B180"/>
    <mergeCell ref="A216:B216"/>
    <mergeCell ref="A252:B252"/>
    <mergeCell ref="A348:B348"/>
    <mergeCell ref="A320:B320"/>
  </mergeCells>
  <pageMargins left="0.70866141732283472" right="0.70866141732283472" top="0.74803149606299213" bottom="0.74803149606299213" header="0.31496062992125984" footer="0.31496062992125984"/>
  <pageSetup paperSize="9" scale="95" orientation="portrait" r:id="rId1"/>
  <rowBreaks count="24" manualBreakCount="24">
    <brk id="38" max="6" man="1"/>
    <brk id="55" max="6" man="1"/>
    <brk id="65" max="6" man="1"/>
    <brk id="79" max="6" man="1"/>
    <brk id="99" max="6" man="1"/>
    <brk id="125" max="6" man="1"/>
    <brk id="137" max="6" man="1"/>
    <brk id="147" max="6" man="1"/>
    <brk id="169" max="6" man="1"/>
    <brk id="179" max="6" man="1"/>
    <brk id="201" max="6" man="1"/>
    <brk id="215" max="6" man="1"/>
    <brk id="233" max="6" man="1"/>
    <brk id="245" max="6" man="1"/>
    <brk id="251" max="6" man="1"/>
    <brk id="269" max="6" man="1"/>
    <brk id="285" max="6" man="1"/>
    <brk id="293" max="6" man="1"/>
    <brk id="313" max="6" man="1"/>
    <brk id="333" max="6" man="1"/>
    <brk id="347" max="6" man="1"/>
    <brk id="365" max="6" man="1"/>
    <brk id="377" max="6" man="1"/>
    <brk id="38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6"/>
  <sheetViews>
    <sheetView view="pageBreakPreview" zoomScaleNormal="110" zoomScaleSheetLayoutView="100" workbookViewId="0">
      <selection activeCell="A2" sqref="A2:G2"/>
    </sheetView>
  </sheetViews>
  <sheetFormatPr defaultColWidth="9.140625" defaultRowHeight="12.75" x14ac:dyDescent="0.25"/>
  <cols>
    <col min="1" max="2" width="6" style="79" bestFit="1" customWidth="1"/>
    <col min="3" max="3" width="33.28515625" style="28" customWidth="1"/>
    <col min="4" max="4" width="8.7109375" style="28" customWidth="1"/>
    <col min="5" max="5" width="9.85546875" style="9" customWidth="1"/>
    <col min="6" max="6" width="9.42578125" style="28" customWidth="1"/>
    <col min="7" max="7" width="17.7109375" style="28" bestFit="1" customWidth="1"/>
    <col min="8" max="16384" width="9.140625" style="28"/>
  </cols>
  <sheetData>
    <row r="1" spans="1:7" ht="16.5" customHeight="1" thickBot="1" x14ac:dyDescent="0.3">
      <c r="A1" s="128" t="s">
        <v>232</v>
      </c>
      <c r="B1" s="129"/>
      <c r="C1" s="129"/>
      <c r="D1" s="129"/>
      <c r="E1" s="129"/>
      <c r="F1" s="129"/>
      <c r="G1" s="130"/>
    </row>
    <row r="2" spans="1:7" ht="16.5" customHeight="1" thickBot="1" x14ac:dyDescent="0.3">
      <c r="A2" s="131" t="s">
        <v>235</v>
      </c>
      <c r="B2" s="132"/>
      <c r="C2" s="132"/>
      <c r="D2" s="132"/>
      <c r="E2" s="132"/>
      <c r="F2" s="132"/>
      <c r="G2" s="133"/>
    </row>
    <row r="3" spans="1:7" ht="13.5" thickBot="1" x14ac:dyDescent="0.3"/>
    <row r="4" spans="1:7" ht="26.25" thickBot="1" x14ac:dyDescent="0.3">
      <c r="A4" s="134" t="s">
        <v>0</v>
      </c>
      <c r="B4" s="135"/>
      <c r="C4" s="55" t="s">
        <v>1</v>
      </c>
      <c r="D4" s="55" t="s">
        <v>2</v>
      </c>
      <c r="E4" s="56" t="s">
        <v>3</v>
      </c>
      <c r="F4" s="55" t="s">
        <v>4</v>
      </c>
      <c r="G4" s="80" t="s">
        <v>5</v>
      </c>
    </row>
    <row r="5" spans="1:7" ht="15" customHeight="1" x14ac:dyDescent="0.25"/>
    <row r="6" spans="1:7" s="82" customFormat="1" ht="15" x14ac:dyDescent="0.25">
      <c r="A6" s="126">
        <v>1</v>
      </c>
      <c r="B6" s="126"/>
      <c r="C6" s="75" t="s">
        <v>6</v>
      </c>
      <c r="D6" s="75"/>
      <c r="E6" s="81"/>
      <c r="F6" s="75"/>
      <c r="G6" s="75"/>
    </row>
    <row r="8" spans="1:7" ht="223.5" customHeight="1" x14ac:dyDescent="0.25">
      <c r="A8" s="79">
        <v>1</v>
      </c>
      <c r="B8" s="79">
        <v>1</v>
      </c>
      <c r="C8" s="74" t="s">
        <v>168</v>
      </c>
    </row>
    <row r="9" spans="1:7" ht="25.5" x14ac:dyDescent="0.25">
      <c r="C9" s="28" t="s">
        <v>20</v>
      </c>
    </row>
    <row r="10" spans="1:7" x14ac:dyDescent="0.25">
      <c r="C10" s="28" t="s">
        <v>22</v>
      </c>
      <c r="E10" s="9">
        <f>12.5*0.25*0.6</f>
        <v>1.875</v>
      </c>
    </row>
    <row r="11" spans="1:7" x14ac:dyDescent="0.25">
      <c r="C11" s="28" t="s">
        <v>248</v>
      </c>
      <c r="E11" s="9">
        <f>17*(0.55*0.55*0.65)+20*(0.65*0.65*0.65)+0.45*0.25*(14.12+4.78+4.78+2.45+4.74+2.01+7.11+6.7-17*0.25-20*0.35)</f>
        <v>12.822125000000002</v>
      </c>
    </row>
    <row r="12" spans="1:7" x14ac:dyDescent="0.25">
      <c r="C12" s="28" t="s">
        <v>26</v>
      </c>
      <c r="E12" s="9">
        <f>5*1*1*0.75+9*0.6*0.6*0.55</f>
        <v>5.532</v>
      </c>
    </row>
    <row r="13" spans="1:7" x14ac:dyDescent="0.25">
      <c r="C13" s="28" t="s">
        <v>227</v>
      </c>
      <c r="E13" s="9">
        <f>4*3.14*1*1</f>
        <v>12.56</v>
      </c>
    </row>
    <row r="14" spans="1:7" x14ac:dyDescent="0.25">
      <c r="C14" s="28" t="s">
        <v>228</v>
      </c>
      <c r="E14" s="41">
        <f>0.7*0.7*0.55*2*5</f>
        <v>2.6949999999999994</v>
      </c>
    </row>
    <row r="15" spans="1:7" x14ac:dyDescent="0.25">
      <c r="C15" s="28" t="s">
        <v>166</v>
      </c>
      <c r="E15" s="9">
        <f>0.7*0.7*0.55*6*3</f>
        <v>4.8509999999999991</v>
      </c>
    </row>
    <row r="16" spans="1:7" x14ac:dyDescent="0.25">
      <c r="C16" s="28" t="s">
        <v>24</v>
      </c>
      <c r="E16" s="9">
        <f>1*1.1*0.4</f>
        <v>0.44000000000000006</v>
      </c>
    </row>
    <row r="17" spans="1:7" x14ac:dyDescent="0.25">
      <c r="C17" s="28" t="s">
        <v>167</v>
      </c>
      <c r="E17" s="9">
        <f>2.05*1.6*0.4</f>
        <v>1.3120000000000001</v>
      </c>
    </row>
    <row r="18" spans="1:7" x14ac:dyDescent="0.25">
      <c r="C18" s="28" t="s">
        <v>25</v>
      </c>
      <c r="E18" s="9">
        <f>1.35*0.65*0.4</f>
        <v>0.35100000000000003</v>
      </c>
    </row>
    <row r="19" spans="1:7" x14ac:dyDescent="0.25">
      <c r="C19" s="28" t="s">
        <v>28</v>
      </c>
      <c r="E19" s="9">
        <f>1.5*1.1*0.75*7</f>
        <v>8.6624999999999996</v>
      </c>
    </row>
    <row r="20" spans="1:7" x14ac:dyDescent="0.25">
      <c r="C20" s="28" t="s">
        <v>27</v>
      </c>
      <c r="E20" s="9">
        <f>2.7*1.2*0.4</f>
        <v>1.2960000000000003</v>
      </c>
    </row>
    <row r="21" spans="1:7" ht="15" x14ac:dyDescent="0.25">
      <c r="D21" s="28" t="s">
        <v>165</v>
      </c>
      <c r="E21" s="9">
        <f>SUM(E10:E20)</f>
        <v>52.396625</v>
      </c>
      <c r="G21" s="83">
        <f>E21*F21</f>
        <v>0</v>
      </c>
    </row>
    <row r="22" spans="1:7" x14ac:dyDescent="0.25">
      <c r="G22" s="83"/>
    </row>
    <row r="23" spans="1:7" ht="140.25" x14ac:dyDescent="0.25">
      <c r="A23" s="79">
        <f>A8</f>
        <v>1</v>
      </c>
      <c r="B23" s="79">
        <f>B8+1</f>
        <v>2</v>
      </c>
      <c r="C23" s="28" t="s">
        <v>163</v>
      </c>
    </row>
    <row r="24" spans="1:7" ht="13.5" customHeight="1" x14ac:dyDescent="0.25">
      <c r="C24" s="28" t="s">
        <v>9</v>
      </c>
    </row>
    <row r="25" spans="1:7" x14ac:dyDescent="0.25">
      <c r="C25" s="28" t="s">
        <v>248</v>
      </c>
      <c r="E25" s="9">
        <f>17*(0.55*0.55*0.1)+20*(0.65*0.65*0.1)+0.1*0.25*(14.12+4.78+4.78+2.45+4.74+2.01+7.11+6.7-17*0.25-20*0.35)</f>
        <v>2.2452500000000004</v>
      </c>
    </row>
    <row r="26" spans="1:7" x14ac:dyDescent="0.25">
      <c r="C26" s="28" t="s">
        <v>26</v>
      </c>
      <c r="E26" s="9">
        <f>5*1*1*0.1+9*0.6*0.6*0.1</f>
        <v>0.82400000000000007</v>
      </c>
    </row>
    <row r="27" spans="1:7" x14ac:dyDescent="0.25">
      <c r="C27" s="28" t="s">
        <v>227</v>
      </c>
      <c r="E27" s="9">
        <f>4*0.65*0.1</f>
        <v>0.26</v>
      </c>
    </row>
    <row r="28" spans="1:7" x14ac:dyDescent="0.25">
      <c r="C28" s="28" t="s">
        <v>228</v>
      </c>
      <c r="E28" s="41">
        <f>0.1*0.6*0.6*2*5</f>
        <v>0.36</v>
      </c>
    </row>
    <row r="29" spans="1:7" x14ac:dyDescent="0.25">
      <c r="C29" s="28" t="s">
        <v>166</v>
      </c>
      <c r="E29" s="9">
        <f>0.1*0.6*0.6*6*3</f>
        <v>0.64799999999999991</v>
      </c>
    </row>
    <row r="30" spans="1:7" x14ac:dyDescent="0.25">
      <c r="C30" s="28" t="s">
        <v>24</v>
      </c>
      <c r="E30" s="9">
        <f>1*1.1*0.1</f>
        <v>0.11000000000000001</v>
      </c>
    </row>
    <row r="31" spans="1:7" x14ac:dyDescent="0.25">
      <c r="C31" s="28" t="s">
        <v>167</v>
      </c>
      <c r="E31" s="9">
        <f>1.95*1.5*0.1</f>
        <v>0.29249999999999998</v>
      </c>
    </row>
    <row r="32" spans="1:7" x14ac:dyDescent="0.25">
      <c r="C32" s="28" t="s">
        <v>25</v>
      </c>
      <c r="E32" s="9">
        <f>0.1*1.25*0.55</f>
        <v>6.8750000000000006E-2</v>
      </c>
    </row>
    <row r="33" spans="1:7" x14ac:dyDescent="0.25">
      <c r="C33" s="28" t="s">
        <v>28</v>
      </c>
      <c r="E33" s="9">
        <f>1.4*1*0.1*7</f>
        <v>0.97999999999999987</v>
      </c>
    </row>
    <row r="34" spans="1:7" x14ac:dyDescent="0.25">
      <c r="C34" s="28" t="s">
        <v>27</v>
      </c>
      <c r="E34" s="9">
        <f>0.1*2.6*1.1</f>
        <v>0.28600000000000003</v>
      </c>
    </row>
    <row r="35" spans="1:7" ht="15" x14ac:dyDescent="0.25">
      <c r="D35" s="28" t="s">
        <v>165</v>
      </c>
      <c r="E35" s="9">
        <f>SUM(E25:E34)</f>
        <v>6.0745000000000005</v>
      </c>
      <c r="G35" s="83">
        <f>F35*E35</f>
        <v>0</v>
      </c>
    </row>
    <row r="37" spans="1:7" ht="51" x14ac:dyDescent="0.25">
      <c r="A37" s="79">
        <f>A23</f>
        <v>1</v>
      </c>
      <c r="B37" s="79">
        <f>B23+1</f>
        <v>3</v>
      </c>
      <c r="C37" s="28" t="s">
        <v>92</v>
      </c>
    </row>
    <row r="38" spans="1:7" x14ac:dyDescent="0.25">
      <c r="C38" s="28" t="s">
        <v>29</v>
      </c>
    </row>
    <row r="39" spans="1:7" ht="15" x14ac:dyDescent="0.25">
      <c r="D39" s="28" t="s">
        <v>165</v>
      </c>
      <c r="E39" s="9">
        <f>18.6*0.65</f>
        <v>12.090000000000002</v>
      </c>
      <c r="G39" s="83">
        <f>E39*F39</f>
        <v>0</v>
      </c>
    </row>
    <row r="40" spans="1:7" x14ac:dyDescent="0.25">
      <c r="G40" s="83"/>
    </row>
    <row r="41" spans="1:7" ht="51" x14ac:dyDescent="0.25">
      <c r="A41" s="79">
        <f>A37</f>
        <v>1</v>
      </c>
      <c r="B41" s="79">
        <f>B37+1</f>
        <v>4</v>
      </c>
      <c r="C41" s="28" t="s">
        <v>95</v>
      </c>
    </row>
    <row r="42" spans="1:7" x14ac:dyDescent="0.25">
      <c r="C42" s="28" t="s">
        <v>29</v>
      </c>
    </row>
    <row r="43" spans="1:7" x14ac:dyDescent="0.25">
      <c r="C43" s="28" t="s">
        <v>96</v>
      </c>
      <c r="E43" s="9">
        <f>0.1*(179-18.6)</f>
        <v>16.040000000000003</v>
      </c>
    </row>
    <row r="44" spans="1:7" x14ac:dyDescent="0.25">
      <c r="C44" s="28" t="s">
        <v>97</v>
      </c>
      <c r="E44" s="9">
        <f>0.1*18.6</f>
        <v>1.8600000000000003</v>
      </c>
    </row>
    <row r="45" spans="1:7" ht="15" x14ac:dyDescent="0.25">
      <c r="D45" s="28" t="s">
        <v>165</v>
      </c>
      <c r="E45" s="9">
        <f>SUM(E43:E44)</f>
        <v>17.900000000000002</v>
      </c>
      <c r="G45" s="83">
        <f>E44*F45</f>
        <v>0</v>
      </c>
    </row>
    <row r="46" spans="1:7" x14ac:dyDescent="0.25">
      <c r="G46" s="83"/>
    </row>
    <row r="47" spans="1:7" ht="38.25" x14ac:dyDescent="0.25">
      <c r="A47" s="79">
        <f>A41</f>
        <v>1</v>
      </c>
      <c r="B47" s="79">
        <f>B41+1</f>
        <v>5</v>
      </c>
      <c r="C47" s="28" t="s">
        <v>91</v>
      </c>
    </row>
    <row r="48" spans="1:7" x14ac:dyDescent="0.25">
      <c r="C48" s="28" t="s">
        <v>21</v>
      </c>
    </row>
    <row r="49" spans="1:7" x14ac:dyDescent="0.25">
      <c r="C49" s="28" t="s">
        <v>94</v>
      </c>
    </row>
    <row r="50" spans="1:7" ht="15" x14ac:dyDescent="0.25">
      <c r="D50" s="28" t="s">
        <v>165</v>
      </c>
      <c r="E50" s="9">
        <f>123*0.1</f>
        <v>12.3</v>
      </c>
      <c r="G50" s="83">
        <f>E50*F50</f>
        <v>0</v>
      </c>
    </row>
    <row r="52" spans="1:7" ht="25.5" x14ac:dyDescent="0.25">
      <c r="A52" s="79">
        <f>A47</f>
        <v>1</v>
      </c>
      <c r="B52" s="79">
        <f>B47+1</f>
        <v>6</v>
      </c>
      <c r="C52" s="28" t="s">
        <v>93</v>
      </c>
    </row>
    <row r="53" spans="1:7" x14ac:dyDescent="0.25">
      <c r="C53" s="28" t="s">
        <v>29</v>
      </c>
    </row>
    <row r="54" spans="1:7" ht="15" x14ac:dyDescent="0.25">
      <c r="D54" s="28" t="s">
        <v>165</v>
      </c>
      <c r="E54" s="9">
        <f>E21-E71</f>
        <v>41.867550000000001</v>
      </c>
      <c r="G54" s="83">
        <f>E54*F54</f>
        <v>0</v>
      </c>
    </row>
    <row r="56" spans="1:7" s="85" customFormat="1" x14ac:dyDescent="0.25">
      <c r="A56" s="84"/>
      <c r="B56" s="84"/>
      <c r="C56" s="85" t="s">
        <v>10</v>
      </c>
      <c r="E56" s="86">
        <f>SUM(E7:E54)</f>
        <v>218.99980000000002</v>
      </c>
      <c r="G56" s="87">
        <f>SUM(G8:G55)</f>
        <v>0</v>
      </c>
    </row>
    <row r="58" spans="1:7" s="82" customFormat="1" ht="30" x14ac:dyDescent="0.25">
      <c r="A58" s="126">
        <f>A6+1</f>
        <v>2</v>
      </c>
      <c r="B58" s="126"/>
      <c r="C58" s="75" t="s">
        <v>11</v>
      </c>
      <c r="D58" s="75"/>
      <c r="E58" s="81"/>
      <c r="F58" s="75"/>
      <c r="G58" s="75"/>
    </row>
    <row r="60" spans="1:7" ht="25.5" x14ac:dyDescent="0.25">
      <c r="A60" s="79">
        <f>A58</f>
        <v>2</v>
      </c>
      <c r="B60" s="79">
        <v>1</v>
      </c>
      <c r="C60" s="28" t="s">
        <v>226</v>
      </c>
    </row>
    <row r="61" spans="1:7" x14ac:dyDescent="0.25">
      <c r="C61" s="28" t="s">
        <v>13</v>
      </c>
    </row>
    <row r="62" spans="1:7" x14ac:dyDescent="0.25">
      <c r="C62" s="28" t="s">
        <v>248</v>
      </c>
      <c r="E62" s="9">
        <f>17*(0.25*0.25*0.6)+20*(0.35*0.5*0.6)+0.2*0.15*(14.12+4.78+4.78+2.45+4.74+2.01+7.11+6.7-17*0.25-20*0.35)</f>
        <v>3.8007</v>
      </c>
    </row>
    <row r="63" spans="1:7" x14ac:dyDescent="0.25">
      <c r="C63" s="28" t="s">
        <v>26</v>
      </c>
      <c r="E63" s="9">
        <f>5*0.7*0.7*0.6+9*0.3*0.3*0.4</f>
        <v>1.7939999999999998</v>
      </c>
    </row>
    <row r="64" spans="1:7" x14ac:dyDescent="0.25">
      <c r="C64" s="28" t="s">
        <v>228</v>
      </c>
      <c r="E64" s="41">
        <f>0.3*0.3*0.4*2*5</f>
        <v>0.36</v>
      </c>
    </row>
    <row r="65" spans="1:7" x14ac:dyDescent="0.25">
      <c r="C65" s="28" t="s">
        <v>166</v>
      </c>
      <c r="E65" s="41">
        <f>0.3*0.3*0.4*6*3</f>
        <v>0.64799999999999991</v>
      </c>
    </row>
    <row r="66" spans="1:7" x14ac:dyDescent="0.25">
      <c r="C66" s="28" t="s">
        <v>24</v>
      </c>
      <c r="E66" s="9">
        <f>0.7*0.8*0.25</f>
        <v>0.13999999999999999</v>
      </c>
    </row>
    <row r="67" spans="1:7" x14ac:dyDescent="0.25">
      <c r="C67" s="28" t="s">
        <v>167</v>
      </c>
      <c r="E67" s="9">
        <f>1.65*1.2*0.25</f>
        <v>0.49499999999999994</v>
      </c>
    </row>
    <row r="68" spans="1:7" x14ac:dyDescent="0.25">
      <c r="C68" s="28" t="s">
        <v>25</v>
      </c>
      <c r="E68" s="9">
        <f>0.95*0.25*0.25</f>
        <v>5.9374999999999997E-2</v>
      </c>
    </row>
    <row r="69" spans="1:7" x14ac:dyDescent="0.25">
      <c r="C69" s="28" t="s">
        <v>28</v>
      </c>
      <c r="E69" s="9">
        <f>1.1*0.6*0.6*7</f>
        <v>2.7720000000000002</v>
      </c>
    </row>
    <row r="70" spans="1:7" x14ac:dyDescent="0.25">
      <c r="C70" s="28" t="s">
        <v>27</v>
      </c>
      <c r="E70" s="9">
        <f>2.3*0.8*0.25</f>
        <v>0.45999999999999996</v>
      </c>
    </row>
    <row r="71" spans="1:7" ht="15" x14ac:dyDescent="0.25">
      <c r="D71" s="28" t="s">
        <v>165</v>
      </c>
      <c r="E71" s="9">
        <f>SUM(E62:E70)</f>
        <v>10.529074999999999</v>
      </c>
      <c r="G71" s="83">
        <f>E71*F71</f>
        <v>0</v>
      </c>
    </row>
    <row r="73" spans="1:7" s="40" customFormat="1" ht="25.5" x14ac:dyDescent="0.25">
      <c r="A73" s="53">
        <f>A58</f>
        <v>2</v>
      </c>
      <c r="B73" s="53">
        <f>B60+1</f>
        <v>2</v>
      </c>
      <c r="C73" s="40" t="s">
        <v>159</v>
      </c>
      <c r="E73" s="41"/>
      <c r="F73" s="54"/>
      <c r="G73" s="54"/>
    </row>
    <row r="74" spans="1:7" x14ac:dyDescent="0.25">
      <c r="C74" s="28" t="s">
        <v>248</v>
      </c>
      <c r="E74" s="9">
        <f>17*(0.55*0.55*0.05)+20*(0.65*0.65*0.05)+0.05*0.25*(14.12+4.78+4.78+2.45+4.74+2.01+7.11+6.7-17*0.25-20*0.35)</f>
        <v>1.1226250000000002</v>
      </c>
    </row>
    <row r="75" spans="1:7" x14ac:dyDescent="0.25">
      <c r="C75" s="28" t="s">
        <v>26</v>
      </c>
      <c r="E75" s="9">
        <f>5*1*1*0.05+9*0.6*0.6*0.05</f>
        <v>0.41200000000000003</v>
      </c>
    </row>
    <row r="76" spans="1:7" x14ac:dyDescent="0.25">
      <c r="C76" s="28" t="s">
        <v>228</v>
      </c>
      <c r="E76" s="41">
        <f>0.6*0.6*0.05*2*5</f>
        <v>0.18</v>
      </c>
    </row>
    <row r="77" spans="1:7" x14ac:dyDescent="0.25">
      <c r="C77" s="28" t="s">
        <v>166</v>
      </c>
      <c r="E77" s="41">
        <f>0.6*0.6*0.05*6*3</f>
        <v>0.32399999999999995</v>
      </c>
    </row>
    <row r="78" spans="1:7" x14ac:dyDescent="0.25">
      <c r="C78" s="28" t="s">
        <v>24</v>
      </c>
      <c r="E78" s="9">
        <f>1*1.1*0.05</f>
        <v>5.5000000000000007E-2</v>
      </c>
    </row>
    <row r="79" spans="1:7" x14ac:dyDescent="0.25">
      <c r="C79" s="28" t="s">
        <v>167</v>
      </c>
      <c r="E79" s="9">
        <f>1.95*1.5*0.05</f>
        <v>0.14624999999999999</v>
      </c>
    </row>
    <row r="80" spans="1:7" x14ac:dyDescent="0.25">
      <c r="C80" s="28" t="s">
        <v>25</v>
      </c>
      <c r="E80" s="9">
        <f>1.25*0.55*0.05</f>
        <v>3.4375000000000003E-2</v>
      </c>
    </row>
    <row r="81" spans="1:7" x14ac:dyDescent="0.25">
      <c r="C81" s="28" t="s">
        <v>194</v>
      </c>
      <c r="E81" s="9">
        <f>1.4*1*0.05*7</f>
        <v>0.48999999999999994</v>
      </c>
    </row>
    <row r="82" spans="1:7" x14ac:dyDescent="0.25">
      <c r="C82" s="28" t="s">
        <v>27</v>
      </c>
      <c r="E82" s="9">
        <f>2.6*1.1*0.05</f>
        <v>0.14300000000000002</v>
      </c>
    </row>
    <row r="83" spans="1:7" s="40" customFormat="1" ht="15" x14ac:dyDescent="0.25">
      <c r="A83" s="53"/>
      <c r="B83" s="53"/>
      <c r="D83" s="40" t="s">
        <v>165</v>
      </c>
      <c r="E83" s="41">
        <f>SUM(E74:E82)</f>
        <v>2.9072500000000003</v>
      </c>
      <c r="F83" s="54"/>
      <c r="G83" s="54">
        <f>E83*F83</f>
        <v>0</v>
      </c>
    </row>
    <row r="84" spans="1:7" s="40" customFormat="1" x14ac:dyDescent="0.25">
      <c r="A84" s="53"/>
      <c r="B84" s="53"/>
      <c r="E84" s="41"/>
      <c r="F84" s="54"/>
      <c r="G84" s="54"/>
    </row>
    <row r="85" spans="1:7" s="29" customFormat="1" ht="318.75" x14ac:dyDescent="0.25">
      <c r="A85" s="88">
        <f>A73</f>
        <v>2</v>
      </c>
      <c r="B85" s="88">
        <f>B73+1</f>
        <v>3</v>
      </c>
      <c r="C85" s="29" t="s">
        <v>15</v>
      </c>
      <c r="E85" s="89"/>
    </row>
    <row r="86" spans="1:7" s="29" customFormat="1" x14ac:dyDescent="0.25">
      <c r="A86" s="88"/>
      <c r="B86" s="88"/>
      <c r="C86" s="29" t="s">
        <v>14</v>
      </c>
      <c r="E86" s="89"/>
    </row>
    <row r="87" spans="1:7" s="29" customFormat="1" x14ac:dyDescent="0.25">
      <c r="A87" s="88"/>
      <c r="B87" s="88"/>
      <c r="C87" s="28" t="s">
        <v>248</v>
      </c>
      <c r="E87" s="89">
        <f>E62*95</f>
        <v>361.06650000000002</v>
      </c>
    </row>
    <row r="88" spans="1:7" x14ac:dyDescent="0.25">
      <c r="C88" s="28" t="s">
        <v>26</v>
      </c>
      <c r="E88" s="9">
        <f>E63*95</f>
        <v>170.42999999999998</v>
      </c>
    </row>
    <row r="89" spans="1:7" x14ac:dyDescent="0.25">
      <c r="C89" s="28" t="s">
        <v>228</v>
      </c>
      <c r="E89" s="41">
        <f>E76*95</f>
        <v>17.099999999999998</v>
      </c>
    </row>
    <row r="90" spans="1:7" x14ac:dyDescent="0.25">
      <c r="C90" s="28" t="s">
        <v>166</v>
      </c>
      <c r="E90" s="41">
        <f>3*6*3</f>
        <v>54</v>
      </c>
    </row>
    <row r="91" spans="1:7" x14ac:dyDescent="0.25">
      <c r="C91" s="28" t="s">
        <v>24</v>
      </c>
      <c r="E91" s="9">
        <f>E66*95</f>
        <v>13.299999999999999</v>
      </c>
    </row>
    <row r="92" spans="1:7" x14ac:dyDescent="0.25">
      <c r="C92" s="28" t="s">
        <v>167</v>
      </c>
      <c r="E92" s="9">
        <v>25</v>
      </c>
    </row>
    <row r="93" spans="1:7" x14ac:dyDescent="0.25">
      <c r="C93" s="28" t="s">
        <v>25</v>
      </c>
      <c r="E93" s="9">
        <v>2.5</v>
      </c>
    </row>
    <row r="94" spans="1:7" x14ac:dyDescent="0.25">
      <c r="C94" s="28" t="s">
        <v>28</v>
      </c>
      <c r="E94" s="9">
        <v>275</v>
      </c>
    </row>
    <row r="95" spans="1:7" x14ac:dyDescent="0.25">
      <c r="C95" s="28" t="s">
        <v>27</v>
      </c>
      <c r="E95" s="9">
        <v>20</v>
      </c>
    </row>
    <row r="96" spans="1:7" x14ac:dyDescent="0.25">
      <c r="D96" s="28" t="s">
        <v>42</v>
      </c>
    </row>
    <row r="97" spans="1:7" s="29" customFormat="1" x14ac:dyDescent="0.25">
      <c r="A97" s="88"/>
      <c r="B97" s="88"/>
      <c r="E97" s="89"/>
      <c r="G97" s="90"/>
    </row>
    <row r="98" spans="1:7" s="92" customFormat="1" ht="25.5" x14ac:dyDescent="0.25">
      <c r="A98" s="91"/>
      <c r="B98" s="88"/>
      <c r="C98" s="92" t="s">
        <v>12</v>
      </c>
      <c r="E98" s="93">
        <f>SUM(E87:E97)</f>
        <v>938.39649999999995</v>
      </c>
      <c r="G98" s="94">
        <f>SUM(G60:G97)</f>
        <v>0</v>
      </c>
    </row>
    <row r="100" spans="1:7" s="62" customFormat="1" ht="15" x14ac:dyDescent="0.25">
      <c r="A100" s="127">
        <v>3</v>
      </c>
      <c r="B100" s="127"/>
      <c r="C100" s="78" t="s">
        <v>34</v>
      </c>
      <c r="D100" s="78"/>
      <c r="E100" s="60"/>
      <c r="F100" s="78"/>
      <c r="G100" s="78"/>
    </row>
    <row r="101" spans="1:7" s="40" customFormat="1" x14ac:dyDescent="0.25">
      <c r="A101" s="53"/>
      <c r="B101" s="53"/>
      <c r="E101" s="41"/>
    </row>
    <row r="102" spans="1:7" s="40" customFormat="1" ht="191.25" x14ac:dyDescent="0.25">
      <c r="A102" s="53">
        <v>3</v>
      </c>
      <c r="B102" s="53">
        <v>1</v>
      </c>
      <c r="C102" s="40" t="s">
        <v>98</v>
      </c>
      <c r="E102" s="41"/>
    </row>
    <row r="103" spans="1:7" s="40" customFormat="1" x14ac:dyDescent="0.25">
      <c r="A103" s="53"/>
      <c r="B103" s="53"/>
      <c r="C103" s="40" t="s">
        <v>35</v>
      </c>
      <c r="E103" s="41"/>
    </row>
    <row r="104" spans="1:7" s="40" customFormat="1" x14ac:dyDescent="0.25">
      <c r="A104" s="53"/>
      <c r="B104" s="53"/>
      <c r="D104" s="40" t="s">
        <v>36</v>
      </c>
      <c r="E104" s="41">
        <v>12.5</v>
      </c>
    </row>
    <row r="105" spans="1:7" s="40" customFormat="1" x14ac:dyDescent="0.25">
      <c r="A105" s="53"/>
      <c r="B105" s="53"/>
      <c r="E105" s="41"/>
      <c r="G105" s="95"/>
    </row>
    <row r="106" spans="1:7" s="65" customFormat="1" x14ac:dyDescent="0.25">
      <c r="A106" s="64"/>
      <c r="B106" s="64"/>
      <c r="C106" s="65" t="s">
        <v>37</v>
      </c>
      <c r="E106" s="66">
        <f>SUM(E101:E105)</f>
        <v>12.5</v>
      </c>
      <c r="G106" s="96">
        <f>SUM(G102:G105)</f>
        <v>0</v>
      </c>
    </row>
    <row r="107" spans="1:7" s="40" customFormat="1" x14ac:dyDescent="0.25">
      <c r="A107" s="53"/>
      <c r="B107" s="53"/>
      <c r="E107" s="41"/>
    </row>
    <row r="108" spans="1:7" s="82" customFormat="1" ht="15" x14ac:dyDescent="0.25">
      <c r="A108" s="126">
        <v>4</v>
      </c>
      <c r="B108" s="126"/>
      <c r="C108" s="75" t="s">
        <v>108</v>
      </c>
      <c r="D108" s="75"/>
      <c r="E108" s="81"/>
      <c r="F108" s="97"/>
      <c r="G108" s="97"/>
    </row>
    <row r="109" spans="1:7" x14ac:dyDescent="0.25">
      <c r="F109" s="98"/>
      <c r="G109" s="98"/>
    </row>
    <row r="110" spans="1:7" ht="25.5" x14ac:dyDescent="0.25">
      <c r="A110" s="79">
        <f>A108</f>
        <v>4</v>
      </c>
      <c r="B110" s="79">
        <v>1</v>
      </c>
      <c r="C110" s="28" t="s">
        <v>109</v>
      </c>
      <c r="F110" s="98"/>
      <c r="G110" s="98"/>
    </row>
    <row r="111" spans="1:7" x14ac:dyDescent="0.25">
      <c r="C111" s="28" t="s">
        <v>233</v>
      </c>
      <c r="F111" s="98"/>
      <c r="G111" s="98"/>
    </row>
    <row r="112" spans="1:7" x14ac:dyDescent="0.25">
      <c r="D112" s="28" t="s">
        <v>234</v>
      </c>
      <c r="E112" s="9">
        <v>7</v>
      </c>
      <c r="F112" s="98"/>
      <c r="G112" s="98">
        <f>F112*E112</f>
        <v>0</v>
      </c>
    </row>
    <row r="113" spans="1:7" x14ac:dyDescent="0.25">
      <c r="F113" s="98"/>
      <c r="G113" s="98"/>
    </row>
    <row r="114" spans="1:7" ht="102" x14ac:dyDescent="0.25">
      <c r="A114" s="79">
        <f>A108</f>
        <v>4</v>
      </c>
      <c r="B114" s="79">
        <f>B110+1</f>
        <v>2</v>
      </c>
      <c r="C114" s="28" t="s">
        <v>249</v>
      </c>
      <c r="F114" s="98"/>
      <c r="G114" s="98"/>
    </row>
    <row r="115" spans="1:7" x14ac:dyDescent="0.25">
      <c r="C115" s="28" t="s">
        <v>41</v>
      </c>
      <c r="F115" s="98"/>
      <c r="G115" s="98"/>
    </row>
    <row r="116" spans="1:7" x14ac:dyDescent="0.25">
      <c r="D116" s="28" t="s">
        <v>42</v>
      </c>
      <c r="E116" s="9">
        <v>600</v>
      </c>
      <c r="F116" s="98"/>
      <c r="G116" s="98">
        <f>F116*E116</f>
        <v>0</v>
      </c>
    </row>
    <row r="117" spans="1:7" x14ac:dyDescent="0.25">
      <c r="F117" s="98"/>
      <c r="G117" s="98"/>
    </row>
    <row r="118" spans="1:7" s="40" customFormat="1" x14ac:dyDescent="0.25">
      <c r="A118" s="53"/>
      <c r="B118" s="53"/>
      <c r="C118" s="92" t="s">
        <v>90</v>
      </c>
      <c r="D118" s="92"/>
      <c r="E118" s="93"/>
      <c r="F118" s="99"/>
      <c r="G118" s="100">
        <f>SUM(G110:G117)</f>
        <v>0</v>
      </c>
    </row>
    <row r="119" spans="1:7" s="40" customFormat="1" x14ac:dyDescent="0.25">
      <c r="A119" s="53"/>
      <c r="B119" s="53"/>
      <c r="E119" s="41"/>
      <c r="F119" s="54"/>
      <c r="G119" s="54"/>
    </row>
    <row r="120" spans="1:7" s="82" customFormat="1" ht="15" x14ac:dyDescent="0.25">
      <c r="A120" s="126">
        <f>A108+1</f>
        <v>5</v>
      </c>
      <c r="B120" s="126"/>
      <c r="C120" s="75" t="s">
        <v>16</v>
      </c>
      <c r="D120" s="75"/>
      <c r="E120" s="81"/>
      <c r="F120" s="75"/>
      <c r="G120" s="75"/>
    </row>
    <row r="122" spans="1:7" x14ac:dyDescent="0.25">
      <c r="A122" s="79">
        <f>A120</f>
        <v>5</v>
      </c>
      <c r="B122" s="79">
        <v>1</v>
      </c>
      <c r="C122" s="28" t="s">
        <v>258</v>
      </c>
    </row>
    <row r="123" spans="1:7" x14ac:dyDescent="0.25">
      <c r="C123" s="28" t="s">
        <v>19</v>
      </c>
    </row>
    <row r="124" spans="1:7" x14ac:dyDescent="0.25">
      <c r="C124" s="28" t="s">
        <v>26</v>
      </c>
      <c r="E124" s="101">
        <v>15</v>
      </c>
      <c r="G124" s="83">
        <f t="shared" ref="G124:G132" si="0">E124*F124</f>
        <v>0</v>
      </c>
    </row>
    <row r="125" spans="1:7" x14ac:dyDescent="0.25">
      <c r="C125" s="28" t="s">
        <v>23</v>
      </c>
      <c r="E125" s="101">
        <v>4</v>
      </c>
      <c r="G125" s="83">
        <f t="shared" si="0"/>
        <v>0</v>
      </c>
    </row>
    <row r="126" spans="1:7" x14ac:dyDescent="0.25">
      <c r="C126" s="28" t="s">
        <v>30</v>
      </c>
      <c r="E126" s="101">
        <v>5</v>
      </c>
      <c r="G126" s="83">
        <f t="shared" si="0"/>
        <v>0</v>
      </c>
    </row>
    <row r="127" spans="1:7" x14ac:dyDescent="0.25">
      <c r="C127" s="28" t="s">
        <v>31</v>
      </c>
      <c r="E127" s="101">
        <v>3</v>
      </c>
      <c r="G127" s="83">
        <f t="shared" si="0"/>
        <v>0</v>
      </c>
    </row>
    <row r="128" spans="1:7" x14ac:dyDescent="0.25">
      <c r="C128" s="28" t="s">
        <v>24</v>
      </c>
      <c r="E128" s="101">
        <v>1</v>
      </c>
      <c r="G128" s="83">
        <f t="shared" si="0"/>
        <v>0</v>
      </c>
    </row>
    <row r="129" spans="1:7" x14ac:dyDescent="0.25">
      <c r="C129" s="28" t="s">
        <v>32</v>
      </c>
      <c r="E129" s="101">
        <v>1</v>
      </c>
      <c r="G129" s="83">
        <f t="shared" si="0"/>
        <v>0</v>
      </c>
    </row>
    <row r="130" spans="1:7" x14ac:dyDescent="0.25">
      <c r="C130" s="28" t="s">
        <v>25</v>
      </c>
      <c r="E130" s="101">
        <v>1</v>
      </c>
      <c r="G130" s="83">
        <f t="shared" si="0"/>
        <v>0</v>
      </c>
    </row>
    <row r="131" spans="1:7" x14ac:dyDescent="0.25">
      <c r="C131" s="28" t="s">
        <v>33</v>
      </c>
      <c r="E131" s="101">
        <v>7</v>
      </c>
      <c r="G131" s="83">
        <f t="shared" si="0"/>
        <v>0</v>
      </c>
    </row>
    <row r="132" spans="1:7" x14ac:dyDescent="0.25">
      <c r="C132" s="28" t="s">
        <v>27</v>
      </c>
      <c r="E132" s="101">
        <v>1</v>
      </c>
      <c r="G132" s="83">
        <f t="shared" si="0"/>
        <v>0</v>
      </c>
    </row>
    <row r="133" spans="1:7" x14ac:dyDescent="0.25">
      <c r="G133" s="83"/>
    </row>
    <row r="134" spans="1:7" ht="38.25" x14ac:dyDescent="0.25">
      <c r="A134" s="79">
        <f>A120</f>
        <v>5</v>
      </c>
      <c r="B134" s="79">
        <f>B122+1</f>
        <v>2</v>
      </c>
      <c r="C134" s="28" t="s">
        <v>255</v>
      </c>
    </row>
    <row r="135" spans="1:7" x14ac:dyDescent="0.25">
      <c r="C135" s="28" t="s">
        <v>19</v>
      </c>
    </row>
    <row r="136" spans="1:7" x14ac:dyDescent="0.25">
      <c r="E136" s="101">
        <v>19</v>
      </c>
      <c r="G136" s="83">
        <f t="shared" ref="G136" si="1">E136*F136</f>
        <v>0</v>
      </c>
    </row>
    <row r="137" spans="1:7" x14ac:dyDescent="0.25">
      <c r="D137" s="28" t="s">
        <v>59</v>
      </c>
      <c r="E137" s="101"/>
      <c r="G137" s="83"/>
    </row>
    <row r="138" spans="1:7" x14ac:dyDescent="0.25">
      <c r="E138" s="101"/>
      <c r="G138" s="83"/>
    </row>
    <row r="139" spans="1:7" ht="51" x14ac:dyDescent="0.25">
      <c r="A139" s="79">
        <f>A134</f>
        <v>5</v>
      </c>
      <c r="B139" s="79">
        <f>B134+1</f>
        <v>3</v>
      </c>
      <c r="C139" s="28" t="s">
        <v>256</v>
      </c>
    </row>
    <row r="140" spans="1:7" x14ac:dyDescent="0.25">
      <c r="C140" s="28" t="s">
        <v>19</v>
      </c>
    </row>
    <row r="141" spans="1:7" x14ac:dyDescent="0.25">
      <c r="E141" s="101">
        <v>18</v>
      </c>
      <c r="G141" s="83">
        <f t="shared" ref="G141" si="2">E141*F141</f>
        <v>0</v>
      </c>
    </row>
    <row r="142" spans="1:7" x14ac:dyDescent="0.25">
      <c r="D142" s="28" t="s">
        <v>59</v>
      </c>
      <c r="E142" s="101"/>
      <c r="G142" s="83"/>
    </row>
    <row r="143" spans="1:7" x14ac:dyDescent="0.25">
      <c r="E143" s="101"/>
      <c r="G143" s="83"/>
    </row>
    <row r="144" spans="1:7" ht="38.25" x14ac:dyDescent="0.25">
      <c r="A144" s="79">
        <f>A139</f>
        <v>5</v>
      </c>
      <c r="B144" s="79">
        <f>B139+1</f>
        <v>4</v>
      </c>
      <c r="C144" s="28" t="s">
        <v>257</v>
      </c>
    </row>
    <row r="145" spans="1:7" x14ac:dyDescent="0.25">
      <c r="C145" s="28" t="s">
        <v>19</v>
      </c>
    </row>
    <row r="146" spans="1:7" x14ac:dyDescent="0.25">
      <c r="E146" s="101">
        <v>1</v>
      </c>
      <c r="G146" s="83">
        <f t="shared" ref="G146" si="3">E146*F146</f>
        <v>0</v>
      </c>
    </row>
    <row r="147" spans="1:7" x14ac:dyDescent="0.25">
      <c r="D147" s="28" t="s">
        <v>59</v>
      </c>
      <c r="E147" s="101"/>
      <c r="G147" s="83"/>
    </row>
    <row r="148" spans="1:7" x14ac:dyDescent="0.25">
      <c r="E148" s="101"/>
      <c r="G148" s="83"/>
    </row>
    <row r="149" spans="1:7" ht="38.25" x14ac:dyDescent="0.25">
      <c r="A149" s="79">
        <f>A134</f>
        <v>5</v>
      </c>
      <c r="B149" s="79">
        <f>B144+1</f>
        <v>5</v>
      </c>
      <c r="C149" s="28" t="s">
        <v>250</v>
      </c>
    </row>
    <row r="150" spans="1:7" x14ac:dyDescent="0.25">
      <c r="C150" s="28" t="s">
        <v>47</v>
      </c>
    </row>
    <row r="151" spans="1:7" x14ac:dyDescent="0.25">
      <c r="E151" s="101">
        <v>50</v>
      </c>
      <c r="G151" s="83">
        <f t="shared" ref="G151" si="4">E151*F151</f>
        <v>0</v>
      </c>
    </row>
    <row r="152" spans="1:7" x14ac:dyDescent="0.25">
      <c r="D152" s="28" t="s">
        <v>36</v>
      </c>
      <c r="E152" s="101"/>
      <c r="G152" s="83"/>
    </row>
    <row r="153" spans="1:7" x14ac:dyDescent="0.25">
      <c r="E153" s="101"/>
      <c r="G153" s="83"/>
    </row>
    <row r="154" spans="1:7" s="85" customFormat="1" x14ac:dyDescent="0.25">
      <c r="A154" s="84"/>
      <c r="B154" s="84"/>
      <c r="C154" s="85" t="s">
        <v>18</v>
      </c>
      <c r="E154" s="86"/>
      <c r="G154" s="87">
        <f>SUM(G122:G153)</f>
        <v>0</v>
      </c>
    </row>
    <row r="156" spans="1:7" s="82" customFormat="1" ht="15" x14ac:dyDescent="0.25">
      <c r="A156" s="126">
        <f>A120+1</f>
        <v>6</v>
      </c>
      <c r="B156" s="126"/>
      <c r="C156" s="75" t="s">
        <v>229</v>
      </c>
      <c r="D156" s="75"/>
      <c r="E156" s="81"/>
      <c r="F156" s="75"/>
      <c r="G156" s="75"/>
    </row>
    <row r="158" spans="1:7" ht="25.5" x14ac:dyDescent="0.25">
      <c r="A158" s="79">
        <f>A156</f>
        <v>6</v>
      </c>
      <c r="B158" s="79">
        <v>1</v>
      </c>
      <c r="C158" s="28" t="s">
        <v>230</v>
      </c>
    </row>
    <row r="159" spans="1:7" x14ac:dyDescent="0.25">
      <c r="C159" s="28" t="s">
        <v>19</v>
      </c>
    </row>
    <row r="160" spans="1:7" ht="25.5" x14ac:dyDescent="0.25">
      <c r="C160" s="28" t="s">
        <v>254</v>
      </c>
      <c r="E160" s="101">
        <v>2</v>
      </c>
      <c r="G160" s="83">
        <f t="shared" ref="G160:G163" si="5">E160*F160</f>
        <v>0</v>
      </c>
    </row>
    <row r="161" spans="1:7" x14ac:dyDescent="0.25">
      <c r="C161" s="28" t="s">
        <v>251</v>
      </c>
      <c r="E161" s="101">
        <v>3</v>
      </c>
      <c r="G161" s="83">
        <f t="shared" si="5"/>
        <v>0</v>
      </c>
    </row>
    <row r="162" spans="1:7" ht="25.5" x14ac:dyDescent="0.25">
      <c r="C162" s="28" t="s">
        <v>253</v>
      </c>
      <c r="E162" s="101">
        <v>3</v>
      </c>
      <c r="G162" s="83">
        <f>F162*E162</f>
        <v>0</v>
      </c>
    </row>
    <row r="163" spans="1:7" x14ac:dyDescent="0.25">
      <c r="C163" s="28" t="s">
        <v>252</v>
      </c>
      <c r="E163" s="101">
        <v>13</v>
      </c>
      <c r="G163" s="83">
        <f t="shared" si="5"/>
        <v>0</v>
      </c>
    </row>
    <row r="164" spans="1:7" x14ac:dyDescent="0.25">
      <c r="G164" s="83"/>
    </row>
    <row r="165" spans="1:7" s="85" customFormat="1" x14ac:dyDescent="0.25">
      <c r="A165" s="84"/>
      <c r="B165" s="84"/>
      <c r="C165" s="85" t="s">
        <v>231</v>
      </c>
      <c r="E165" s="86"/>
      <c r="G165" s="87">
        <f>SUM(G158:G164)</f>
        <v>0</v>
      </c>
    </row>
    <row r="167" spans="1:7" s="82" customFormat="1" ht="15" x14ac:dyDescent="0.25">
      <c r="A167" s="125" t="s">
        <v>236</v>
      </c>
      <c r="B167" s="125"/>
      <c r="C167" s="125"/>
      <c r="D167" s="125"/>
      <c r="E167" s="125"/>
      <c r="F167" s="125"/>
      <c r="G167" s="125"/>
    </row>
    <row r="169" spans="1:7" x14ac:dyDescent="0.25">
      <c r="B169" s="79">
        <v>1</v>
      </c>
      <c r="C169" s="28" t="str">
        <f>C6</f>
        <v>ZEMLJANI RADOVI</v>
      </c>
      <c r="G169" s="83">
        <f>G56</f>
        <v>0</v>
      </c>
    </row>
    <row r="170" spans="1:7" ht="26.25" customHeight="1" x14ac:dyDescent="0.25">
      <c r="B170" s="79">
        <f t="shared" ref="B170" si="6">B169+1</f>
        <v>2</v>
      </c>
      <c r="C170" s="28" t="str">
        <f>C58</f>
        <v>BETONSKI I ARMIRANOBETONSKI RADOVI</v>
      </c>
      <c r="G170" s="83">
        <f>G98</f>
        <v>0</v>
      </c>
    </row>
    <row r="171" spans="1:7" x14ac:dyDescent="0.25">
      <c r="B171" s="79">
        <f>B170+1</f>
        <v>3</v>
      </c>
      <c r="C171" s="28" t="str">
        <f>C100</f>
        <v>ZIDARSKI RADOVI</v>
      </c>
      <c r="G171" s="83">
        <f>G106</f>
        <v>0</v>
      </c>
    </row>
    <row r="172" spans="1:7" x14ac:dyDescent="0.25">
      <c r="B172" s="79">
        <f>B171+1</f>
        <v>4</v>
      </c>
      <c r="C172" s="28" t="str">
        <f>C108</f>
        <v>IZRADA INFO TABLA</v>
      </c>
      <c r="G172" s="83"/>
    </row>
    <row r="173" spans="1:7" x14ac:dyDescent="0.25">
      <c r="B173" s="79">
        <f>B172+1</f>
        <v>5</v>
      </c>
      <c r="C173" s="28" t="str">
        <f>C120</f>
        <v>MONTAŽERSKI RADOVI</v>
      </c>
      <c r="G173" s="83">
        <f>G154</f>
        <v>0</v>
      </c>
    </row>
    <row r="174" spans="1:7" x14ac:dyDescent="0.25">
      <c r="B174" s="79">
        <f>A156</f>
        <v>6</v>
      </c>
      <c r="C174" s="28" t="str">
        <f>C156</f>
        <v>HORTIKULTURNO UREĐENJE</v>
      </c>
      <c r="G174" s="83">
        <f>G165</f>
        <v>0</v>
      </c>
    </row>
    <row r="175" spans="1:7" x14ac:dyDescent="0.25">
      <c r="G175" s="83"/>
    </row>
    <row r="176" spans="1:7" s="85" customFormat="1" x14ac:dyDescent="0.25">
      <c r="A176" s="84"/>
      <c r="B176" s="84"/>
      <c r="C176" s="85" t="s">
        <v>64</v>
      </c>
      <c r="E176" s="86"/>
      <c r="G176" s="87">
        <f>SUM(G169:G175)</f>
        <v>0</v>
      </c>
    </row>
  </sheetData>
  <mergeCells count="10">
    <mergeCell ref="A167:G167"/>
    <mergeCell ref="A58:B58"/>
    <mergeCell ref="A100:B100"/>
    <mergeCell ref="A6:B6"/>
    <mergeCell ref="A1:G1"/>
    <mergeCell ref="A2:G2"/>
    <mergeCell ref="A4:B4"/>
    <mergeCell ref="A120:B120"/>
    <mergeCell ref="A108:B108"/>
    <mergeCell ref="A156:B156"/>
  </mergeCells>
  <pageMargins left="0.70866141732283472" right="0.70866141732283472" top="0.74803149606299213" bottom="0.74803149606299213" header="0.31496062992125984" footer="0.31496062992125984"/>
  <pageSetup paperSize="9" scale="93" orientation="portrait" r:id="rId1"/>
  <rowBreaks count="6" manualBreakCount="6">
    <brk id="22" max="6" man="1"/>
    <brk id="51" max="6" man="1"/>
    <brk id="72" max="6" man="1"/>
    <brk id="99" max="6" man="1"/>
    <brk id="119" max="6" man="1"/>
    <brk id="16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A9F06-23A9-4426-A63B-D331351460EB}">
  <dimension ref="A1:G186"/>
  <sheetViews>
    <sheetView view="pageBreakPreview" zoomScaleNormal="110" zoomScaleSheetLayoutView="100" workbookViewId="0">
      <selection activeCell="A3" sqref="A3"/>
    </sheetView>
  </sheetViews>
  <sheetFormatPr defaultColWidth="9.140625" defaultRowHeight="12.75" x14ac:dyDescent="0.25"/>
  <cols>
    <col min="1" max="2" width="6" style="23" bestFit="1" customWidth="1"/>
    <col min="3" max="3" width="34.7109375" style="24" customWidth="1"/>
    <col min="4" max="4" width="8.7109375" style="24" customWidth="1"/>
    <col min="5" max="5" width="9.85546875" style="25" customWidth="1"/>
    <col min="6" max="6" width="9.42578125" style="39" customWidth="1"/>
    <col min="7" max="7" width="17.7109375" style="39" bestFit="1" customWidth="1"/>
    <col min="8" max="16384" width="9.140625" style="24"/>
  </cols>
  <sheetData>
    <row r="1" spans="1:7" s="40" customFormat="1" ht="16.5" customHeight="1" thickBot="1" x14ac:dyDescent="0.3">
      <c r="A1" s="128" t="s">
        <v>164</v>
      </c>
      <c r="B1" s="129"/>
      <c r="C1" s="129"/>
      <c r="D1" s="129"/>
      <c r="E1" s="129"/>
      <c r="F1" s="129"/>
      <c r="G1" s="130"/>
    </row>
    <row r="2" spans="1:7" s="40" customFormat="1" ht="16.5" customHeight="1" thickBot="1" x14ac:dyDescent="0.3">
      <c r="A2" s="131" t="s">
        <v>235</v>
      </c>
      <c r="B2" s="132"/>
      <c r="C2" s="132"/>
      <c r="D2" s="132"/>
      <c r="E2" s="132"/>
      <c r="F2" s="132"/>
      <c r="G2" s="133"/>
    </row>
    <row r="3" spans="1:7" s="40" customFormat="1" ht="13.5" thickBot="1" x14ac:dyDescent="0.3">
      <c r="A3" s="53"/>
      <c r="B3" s="53"/>
      <c r="E3" s="41"/>
      <c r="F3" s="54"/>
      <c r="G3" s="54"/>
    </row>
    <row r="4" spans="1:7" s="40" customFormat="1" ht="26.25" thickBot="1" x14ac:dyDescent="0.3">
      <c r="A4" s="134" t="s">
        <v>0</v>
      </c>
      <c r="B4" s="135"/>
      <c r="C4" s="55" t="s">
        <v>1</v>
      </c>
      <c r="D4" s="55" t="s">
        <v>2</v>
      </c>
      <c r="E4" s="56" t="s">
        <v>3</v>
      </c>
      <c r="F4" s="57" t="s">
        <v>4</v>
      </c>
      <c r="G4" s="58" t="s">
        <v>5</v>
      </c>
    </row>
    <row r="5" spans="1:7" s="40" customFormat="1" x14ac:dyDescent="0.25">
      <c r="A5" s="53"/>
      <c r="B5" s="53"/>
      <c r="E5" s="41"/>
      <c r="F5" s="54"/>
      <c r="G5" s="54"/>
    </row>
    <row r="6" spans="1:7" s="62" customFormat="1" ht="15" x14ac:dyDescent="0.25">
      <c r="A6" s="127">
        <v>1</v>
      </c>
      <c r="B6" s="127"/>
      <c r="C6" s="59" t="s">
        <v>6</v>
      </c>
      <c r="D6" s="59"/>
      <c r="E6" s="60"/>
      <c r="F6" s="61"/>
      <c r="G6" s="61"/>
    </row>
    <row r="7" spans="1:7" s="40" customFormat="1" x14ac:dyDescent="0.25">
      <c r="A7" s="53"/>
      <c r="B7" s="53"/>
      <c r="E7" s="41"/>
      <c r="F7" s="54"/>
      <c r="G7" s="54"/>
    </row>
    <row r="8" spans="1:7" s="40" customFormat="1" ht="255" x14ac:dyDescent="0.25">
      <c r="A8" s="53">
        <f>A6</f>
        <v>1</v>
      </c>
      <c r="B8" s="53">
        <v>1</v>
      </c>
      <c r="C8" s="40" t="s">
        <v>66</v>
      </c>
      <c r="E8" s="41"/>
      <c r="F8" s="54"/>
      <c r="G8" s="54"/>
    </row>
    <row r="9" spans="1:7" s="40" customFormat="1" ht="25.5" x14ac:dyDescent="0.25">
      <c r="A9" s="53"/>
      <c r="B9" s="53"/>
      <c r="C9" s="40" t="s">
        <v>67</v>
      </c>
      <c r="E9" s="41"/>
      <c r="F9" s="54"/>
      <c r="G9" s="54"/>
    </row>
    <row r="10" spans="1:7" s="40" customFormat="1" x14ac:dyDescent="0.25">
      <c r="A10" s="53"/>
      <c r="B10" s="53"/>
      <c r="C10" s="40" t="s">
        <v>68</v>
      </c>
      <c r="E10" s="41"/>
      <c r="F10" s="54"/>
      <c r="G10" s="54"/>
    </row>
    <row r="11" spans="1:7" s="40" customFormat="1" ht="15" x14ac:dyDescent="0.25">
      <c r="A11" s="53"/>
      <c r="B11" s="53"/>
      <c r="D11" s="40" t="s">
        <v>165</v>
      </c>
      <c r="E11" s="41">
        <f>0.3*82</f>
        <v>24.599999999999998</v>
      </c>
      <c r="F11" s="54"/>
      <c r="G11" s="54">
        <f>E11*F11</f>
        <v>0</v>
      </c>
    </row>
    <row r="12" spans="1:7" s="40" customFormat="1" x14ac:dyDescent="0.25">
      <c r="A12" s="53"/>
      <c r="B12" s="53"/>
      <c r="E12" s="41"/>
      <c r="F12" s="54"/>
      <c r="G12" s="54"/>
    </row>
    <row r="13" spans="1:7" s="40" customFormat="1" ht="223.5" customHeight="1" x14ac:dyDescent="0.25">
      <c r="A13" s="53">
        <f>A8</f>
        <v>1</v>
      </c>
      <c r="B13" s="53">
        <f>B8+1</f>
        <v>2</v>
      </c>
      <c r="C13" s="63" t="s">
        <v>106</v>
      </c>
      <c r="E13" s="41"/>
      <c r="F13" s="54"/>
      <c r="G13" s="54"/>
    </row>
    <row r="14" spans="1:7" s="40" customFormat="1" ht="25.5" x14ac:dyDescent="0.25">
      <c r="A14" s="53"/>
      <c r="B14" s="53"/>
      <c r="C14" s="40" t="s">
        <v>20</v>
      </c>
      <c r="E14" s="41"/>
      <c r="F14" s="54"/>
      <c r="G14" s="54"/>
    </row>
    <row r="15" spans="1:7" s="40" customFormat="1" x14ac:dyDescent="0.25">
      <c r="A15" s="53"/>
      <c r="B15" s="53"/>
      <c r="C15" s="40" t="s">
        <v>173</v>
      </c>
      <c r="E15" s="41">
        <f>0.7*0.7*0.55</f>
        <v>0.26949999999999996</v>
      </c>
      <c r="F15" s="54"/>
      <c r="G15" s="54"/>
    </row>
    <row r="16" spans="1:7" s="40" customFormat="1" x14ac:dyDescent="0.25">
      <c r="A16" s="53"/>
      <c r="B16" s="53"/>
      <c r="C16" s="40" t="s">
        <v>174</v>
      </c>
      <c r="E16" s="41">
        <f>1.35*0.65*0.4*2</f>
        <v>0.70200000000000007</v>
      </c>
      <c r="F16" s="54"/>
      <c r="G16" s="54"/>
    </row>
    <row r="17" spans="1:7" s="40" customFormat="1" x14ac:dyDescent="0.25">
      <c r="A17" s="53"/>
      <c r="B17" s="53"/>
      <c r="C17" s="40" t="s">
        <v>244</v>
      </c>
      <c r="E17" s="41">
        <f>1.9*2.25*0.4</f>
        <v>1.71</v>
      </c>
      <c r="F17" s="54"/>
      <c r="G17" s="54"/>
    </row>
    <row r="18" spans="1:7" s="40" customFormat="1" x14ac:dyDescent="0.25">
      <c r="A18" s="53"/>
      <c r="B18" s="53"/>
      <c r="C18" s="40" t="s">
        <v>176</v>
      </c>
      <c r="E18" s="41">
        <f>2.7*1.2*0.4</f>
        <v>1.2960000000000003</v>
      </c>
      <c r="F18" s="54"/>
      <c r="G18" s="54"/>
    </row>
    <row r="19" spans="1:7" s="40" customFormat="1" x14ac:dyDescent="0.25">
      <c r="A19" s="53"/>
      <c r="B19" s="53"/>
      <c r="C19" s="40" t="s">
        <v>177</v>
      </c>
      <c r="E19" s="41">
        <f>0.7*0.7*0.55*2*2</f>
        <v>1.0779999999999998</v>
      </c>
      <c r="F19" s="54"/>
      <c r="G19" s="54"/>
    </row>
    <row r="20" spans="1:7" s="40" customFormat="1" x14ac:dyDescent="0.25">
      <c r="A20" s="53"/>
      <c r="B20" s="53"/>
      <c r="C20" s="40" t="s">
        <v>178</v>
      </c>
      <c r="E20" s="41">
        <f>1.1*1.1*0.75*2*2</f>
        <v>3.6300000000000008</v>
      </c>
      <c r="F20" s="54"/>
      <c r="G20" s="54"/>
    </row>
    <row r="21" spans="1:7" s="40" customFormat="1" x14ac:dyDescent="0.25">
      <c r="A21" s="53"/>
      <c r="B21" s="53"/>
      <c r="C21" s="40" t="s">
        <v>179</v>
      </c>
      <c r="E21" s="41">
        <f>1.1*1.1*0.75*3</f>
        <v>2.7225000000000006</v>
      </c>
      <c r="F21" s="54"/>
      <c r="G21" s="54"/>
    </row>
    <row r="22" spans="1:7" s="40" customFormat="1" x14ac:dyDescent="0.25">
      <c r="A22" s="53"/>
      <c r="B22" s="53"/>
      <c r="C22" s="40" t="s">
        <v>180</v>
      </c>
      <c r="E22" s="41">
        <f>2.1*1.2*0.4</f>
        <v>1.008</v>
      </c>
      <c r="F22" s="54"/>
      <c r="G22" s="54"/>
    </row>
    <row r="23" spans="1:7" s="40" customFormat="1" x14ac:dyDescent="0.25">
      <c r="A23" s="53"/>
      <c r="B23" s="53"/>
      <c r="C23" s="40" t="s">
        <v>107</v>
      </c>
      <c r="E23" s="41">
        <f>19*1*1*0.35</f>
        <v>6.6499999999999995</v>
      </c>
      <c r="F23" s="54"/>
      <c r="G23" s="54"/>
    </row>
    <row r="24" spans="1:7" s="40" customFormat="1" ht="15" x14ac:dyDescent="0.25">
      <c r="A24" s="53"/>
      <c r="B24" s="53"/>
      <c r="D24" s="40" t="s">
        <v>165</v>
      </c>
      <c r="E24" s="41">
        <f>SUM(E15:E23)</f>
        <v>19.065999999999999</v>
      </c>
      <c r="F24" s="54"/>
      <c r="G24" s="54">
        <f>E24*F24</f>
        <v>0</v>
      </c>
    </row>
    <row r="25" spans="1:7" s="40" customFormat="1" x14ac:dyDescent="0.25">
      <c r="A25" s="53"/>
      <c r="B25" s="53"/>
      <c r="E25" s="41"/>
      <c r="F25" s="54"/>
      <c r="G25" s="54"/>
    </row>
    <row r="26" spans="1:7" s="40" customFormat="1" ht="140.25" x14ac:dyDescent="0.25">
      <c r="A26" s="53">
        <f>A8</f>
        <v>1</v>
      </c>
      <c r="B26" s="53">
        <f>B13+1</f>
        <v>3</v>
      </c>
      <c r="C26" s="40" t="s">
        <v>163</v>
      </c>
      <c r="E26" s="41"/>
      <c r="F26" s="54"/>
      <c r="G26" s="54"/>
    </row>
    <row r="27" spans="1:7" s="40" customFormat="1" x14ac:dyDescent="0.25">
      <c r="A27" s="53"/>
      <c r="B27" s="53"/>
      <c r="C27" s="40" t="s">
        <v>9</v>
      </c>
      <c r="E27" s="41"/>
      <c r="F27" s="54"/>
      <c r="G27" s="54"/>
    </row>
    <row r="28" spans="1:7" s="40" customFormat="1" x14ac:dyDescent="0.25">
      <c r="A28" s="53"/>
      <c r="B28" s="53"/>
      <c r="C28" s="40" t="s">
        <v>172</v>
      </c>
      <c r="E28" s="41">
        <f>0.1*82</f>
        <v>8.2000000000000011</v>
      </c>
      <c r="F28" s="54"/>
      <c r="G28" s="54"/>
    </row>
    <row r="29" spans="1:7" s="40" customFormat="1" x14ac:dyDescent="0.25">
      <c r="A29" s="53"/>
      <c r="B29" s="53"/>
      <c r="C29" s="40" t="s">
        <v>173</v>
      </c>
      <c r="E29" s="41">
        <f>0.1*0.6*0.6</f>
        <v>3.5999999999999997E-2</v>
      </c>
      <c r="F29" s="54"/>
      <c r="G29" s="54"/>
    </row>
    <row r="30" spans="1:7" s="40" customFormat="1" x14ac:dyDescent="0.25">
      <c r="A30" s="53"/>
      <c r="B30" s="53"/>
      <c r="C30" s="40" t="s">
        <v>174</v>
      </c>
      <c r="E30" s="41">
        <f>0.1*1.25*0.55*2</f>
        <v>0.13750000000000001</v>
      </c>
      <c r="F30" s="54"/>
      <c r="G30" s="54"/>
    </row>
    <row r="31" spans="1:7" s="40" customFormat="1" x14ac:dyDescent="0.25">
      <c r="A31" s="53"/>
      <c r="B31" s="53"/>
      <c r="C31" s="40" t="s">
        <v>244</v>
      </c>
      <c r="E31" s="41">
        <f>0.1*1.8*2.15</f>
        <v>0.38700000000000001</v>
      </c>
      <c r="F31" s="54"/>
      <c r="G31" s="54"/>
    </row>
    <row r="32" spans="1:7" s="40" customFormat="1" x14ac:dyDescent="0.25">
      <c r="A32" s="53"/>
      <c r="B32" s="53"/>
      <c r="C32" s="40" t="s">
        <v>176</v>
      </c>
      <c r="E32" s="41">
        <f>0.1*2.6*1.1</f>
        <v>0.28600000000000003</v>
      </c>
      <c r="F32" s="54"/>
      <c r="G32" s="54"/>
    </row>
    <row r="33" spans="1:7" s="40" customFormat="1" x14ac:dyDescent="0.25">
      <c r="A33" s="53"/>
      <c r="B33" s="53"/>
      <c r="C33" s="40" t="s">
        <v>177</v>
      </c>
      <c r="E33" s="41">
        <f>0.1*0.6*0.6*2*2</f>
        <v>0.14399999999999999</v>
      </c>
      <c r="F33" s="54"/>
      <c r="G33" s="54"/>
    </row>
    <row r="34" spans="1:7" s="40" customFormat="1" x14ac:dyDescent="0.25">
      <c r="A34" s="53"/>
      <c r="B34" s="53"/>
      <c r="C34" s="40" t="s">
        <v>178</v>
      </c>
      <c r="E34" s="41">
        <f>0.1*1*1*2*2</f>
        <v>0.4</v>
      </c>
      <c r="F34" s="54"/>
      <c r="G34" s="54"/>
    </row>
    <row r="35" spans="1:7" s="40" customFormat="1" x14ac:dyDescent="0.25">
      <c r="A35" s="53"/>
      <c r="B35" s="53"/>
      <c r="C35" s="40" t="s">
        <v>179</v>
      </c>
      <c r="E35" s="41">
        <f>0.1*1*1*3</f>
        <v>0.30000000000000004</v>
      </c>
      <c r="F35" s="54"/>
      <c r="G35" s="54"/>
    </row>
    <row r="36" spans="1:7" s="40" customFormat="1" x14ac:dyDescent="0.25">
      <c r="A36" s="53"/>
      <c r="B36" s="53"/>
      <c r="C36" s="40" t="s">
        <v>180</v>
      </c>
      <c r="E36" s="41">
        <f>0.1*2*1.1</f>
        <v>0.22000000000000003</v>
      </c>
      <c r="F36" s="54"/>
      <c r="G36" s="54"/>
    </row>
    <row r="37" spans="1:7" s="40" customFormat="1" x14ac:dyDescent="0.25">
      <c r="A37" s="53"/>
      <c r="B37" s="53"/>
      <c r="C37" s="40" t="s">
        <v>107</v>
      </c>
      <c r="E37" s="41">
        <f>0.1*0.8*0.8*19</f>
        <v>1.2160000000000002</v>
      </c>
      <c r="F37" s="54"/>
      <c r="G37" s="54"/>
    </row>
    <row r="38" spans="1:7" s="40" customFormat="1" x14ac:dyDescent="0.25">
      <c r="A38" s="53"/>
      <c r="B38" s="53"/>
      <c r="E38" s="41"/>
      <c r="F38" s="54"/>
      <c r="G38" s="54"/>
    </row>
    <row r="39" spans="1:7" s="40" customFormat="1" ht="15" x14ac:dyDescent="0.25">
      <c r="A39" s="53"/>
      <c r="B39" s="53"/>
      <c r="D39" s="40" t="s">
        <v>165</v>
      </c>
      <c r="E39" s="41">
        <f>SUM(E29:E38)</f>
        <v>3.1265000000000001</v>
      </c>
      <c r="F39" s="54"/>
      <c r="G39" s="54">
        <f>E35*F39</f>
        <v>0</v>
      </c>
    </row>
    <row r="40" spans="1:7" s="40" customFormat="1" x14ac:dyDescent="0.25">
      <c r="A40" s="53"/>
      <c r="B40" s="53"/>
      <c r="E40" s="41"/>
      <c r="F40" s="54"/>
      <c r="G40" s="54"/>
    </row>
    <row r="41" spans="1:7" s="40" customFormat="1" ht="51" x14ac:dyDescent="0.25">
      <c r="A41" s="53">
        <f>A26</f>
        <v>1</v>
      </c>
      <c r="B41" s="53">
        <f>B26+1</f>
        <v>4</v>
      </c>
      <c r="C41" s="28" t="s">
        <v>241</v>
      </c>
      <c r="E41" s="41"/>
      <c r="F41" s="54"/>
      <c r="G41" s="54"/>
    </row>
    <row r="42" spans="1:7" s="40" customFormat="1" x14ac:dyDescent="0.25">
      <c r="A42" s="53"/>
      <c r="B42" s="53"/>
      <c r="C42" s="40" t="s">
        <v>21</v>
      </c>
      <c r="E42" s="41"/>
      <c r="F42" s="54"/>
      <c r="G42" s="54"/>
    </row>
    <row r="43" spans="1:7" s="40" customFormat="1" ht="15" x14ac:dyDescent="0.25">
      <c r="A43" s="53"/>
      <c r="B43" s="53"/>
      <c r="D43" s="40" t="s">
        <v>165</v>
      </c>
      <c r="E43" s="41">
        <f>0.08*84</f>
        <v>6.72</v>
      </c>
      <c r="F43" s="54"/>
      <c r="G43" s="54">
        <f>E43*F43</f>
        <v>0</v>
      </c>
    </row>
    <row r="44" spans="1:7" s="40" customFormat="1" x14ac:dyDescent="0.25">
      <c r="A44" s="53"/>
      <c r="B44" s="53"/>
      <c r="E44" s="41"/>
      <c r="F44" s="54"/>
      <c r="G44" s="54"/>
    </row>
    <row r="45" spans="1:7" s="40" customFormat="1" ht="51" x14ac:dyDescent="0.25">
      <c r="A45" s="53">
        <f>A41</f>
        <v>1</v>
      </c>
      <c r="B45" s="53">
        <f>B41+1</f>
        <v>5</v>
      </c>
      <c r="C45" s="28" t="s">
        <v>242</v>
      </c>
      <c r="E45" s="41"/>
      <c r="F45" s="54"/>
      <c r="G45" s="54"/>
    </row>
    <row r="46" spans="1:7" s="40" customFormat="1" x14ac:dyDescent="0.25">
      <c r="A46" s="53"/>
      <c r="B46" s="53"/>
      <c r="C46" s="40" t="s">
        <v>21</v>
      </c>
      <c r="E46" s="41"/>
      <c r="F46" s="54"/>
      <c r="G46" s="54"/>
    </row>
    <row r="47" spans="1:7" s="40" customFormat="1" ht="15" x14ac:dyDescent="0.25">
      <c r="A47" s="53"/>
      <c r="B47" s="53"/>
      <c r="D47" s="40" t="s">
        <v>165</v>
      </c>
      <c r="E47" s="41">
        <f>0.08*131</f>
        <v>10.48</v>
      </c>
      <c r="F47" s="54"/>
      <c r="G47" s="54">
        <f>E47*F47</f>
        <v>0</v>
      </c>
    </row>
    <row r="48" spans="1:7" s="40" customFormat="1" x14ac:dyDescent="0.25">
      <c r="A48" s="53"/>
      <c r="B48" s="53"/>
      <c r="E48" s="41"/>
      <c r="F48" s="54"/>
      <c r="G48" s="54"/>
    </row>
    <row r="49" spans="1:7" s="40" customFormat="1" ht="25.5" x14ac:dyDescent="0.25">
      <c r="A49" s="53">
        <f>A41</f>
        <v>1</v>
      </c>
      <c r="B49" s="53">
        <f>B45+1</f>
        <v>6</v>
      </c>
      <c r="C49" s="40" t="s">
        <v>162</v>
      </c>
      <c r="E49" s="41"/>
      <c r="F49" s="54"/>
      <c r="G49" s="54"/>
    </row>
    <row r="50" spans="1:7" s="40" customFormat="1" ht="25.5" x14ac:dyDescent="0.25">
      <c r="A50" s="53"/>
      <c r="B50" s="53"/>
      <c r="C50" s="40" t="s">
        <v>20</v>
      </c>
      <c r="E50" s="41"/>
      <c r="F50" s="54"/>
      <c r="G50" s="54"/>
    </row>
    <row r="51" spans="1:7" s="40" customFormat="1" ht="15" x14ac:dyDescent="0.25">
      <c r="A51" s="53"/>
      <c r="B51" s="53"/>
      <c r="D51" s="40" t="s">
        <v>165</v>
      </c>
      <c r="E51" s="41">
        <f>E11+E24-E67-E79-E39</f>
        <v>35.733750000000001</v>
      </c>
      <c r="F51" s="54"/>
      <c r="G51" s="54">
        <f>E51*F51</f>
        <v>0</v>
      </c>
    </row>
    <row r="52" spans="1:7" s="40" customFormat="1" x14ac:dyDescent="0.25">
      <c r="A52" s="53"/>
      <c r="B52" s="53"/>
      <c r="E52" s="41"/>
      <c r="F52" s="54"/>
      <c r="G52" s="54"/>
    </row>
    <row r="53" spans="1:7" s="65" customFormat="1" x14ac:dyDescent="0.25">
      <c r="A53" s="64"/>
      <c r="B53" s="64"/>
      <c r="C53" s="65" t="s">
        <v>10</v>
      </c>
      <c r="E53" s="66">
        <f>SUM(E7:E51)</f>
        <v>130.11875000000001</v>
      </c>
      <c r="F53" s="67"/>
      <c r="G53" s="67">
        <f>SUM(G8:G52)</f>
        <v>0</v>
      </c>
    </row>
    <row r="54" spans="1:7" s="40" customFormat="1" x14ac:dyDescent="0.25">
      <c r="A54" s="53"/>
      <c r="B54" s="53"/>
      <c r="E54" s="41"/>
      <c r="F54" s="54"/>
      <c r="G54" s="54"/>
    </row>
    <row r="55" spans="1:7" s="62" customFormat="1" ht="30" x14ac:dyDescent="0.25">
      <c r="A55" s="127">
        <f>A6+1</f>
        <v>2</v>
      </c>
      <c r="B55" s="127"/>
      <c r="C55" s="59" t="s">
        <v>11</v>
      </c>
      <c r="D55" s="59"/>
      <c r="E55" s="60"/>
      <c r="F55" s="61"/>
      <c r="G55" s="61"/>
    </row>
    <row r="56" spans="1:7" s="40" customFormat="1" x14ac:dyDescent="0.25">
      <c r="A56" s="53"/>
      <c r="B56" s="53"/>
      <c r="E56" s="41"/>
      <c r="F56" s="54"/>
      <c r="G56" s="54"/>
    </row>
    <row r="57" spans="1:7" s="40" customFormat="1" ht="38.25" x14ac:dyDescent="0.25">
      <c r="A57" s="53">
        <f>A55</f>
        <v>2</v>
      </c>
      <c r="B57" s="53">
        <v>1</v>
      </c>
      <c r="C57" s="40" t="s">
        <v>245</v>
      </c>
      <c r="E57" s="41"/>
      <c r="F57" s="54"/>
      <c r="G57" s="54"/>
    </row>
    <row r="58" spans="1:7" s="40" customFormat="1" x14ac:dyDescent="0.25">
      <c r="A58" s="53"/>
      <c r="B58" s="53"/>
      <c r="C58" s="40" t="s">
        <v>13</v>
      </c>
      <c r="E58" s="41"/>
      <c r="F58" s="54"/>
      <c r="G58" s="54"/>
    </row>
    <row r="59" spans="1:7" s="40" customFormat="1" x14ac:dyDescent="0.25">
      <c r="A59" s="53"/>
      <c r="B59" s="53"/>
      <c r="C59" s="40" t="s">
        <v>181</v>
      </c>
      <c r="E59" s="41">
        <f>0.3*0.3*0.4</f>
        <v>3.5999999999999997E-2</v>
      </c>
      <c r="F59" s="54"/>
      <c r="G59" s="54"/>
    </row>
    <row r="60" spans="1:7" s="40" customFormat="1" x14ac:dyDescent="0.25">
      <c r="A60" s="53"/>
      <c r="B60" s="53"/>
      <c r="C60" s="40" t="s">
        <v>182</v>
      </c>
      <c r="E60" s="41">
        <f>0.95*0.25*0.25*2</f>
        <v>0.11874999999999999</v>
      </c>
      <c r="F60" s="54"/>
      <c r="G60" s="54"/>
    </row>
    <row r="61" spans="1:7" s="40" customFormat="1" x14ac:dyDescent="0.25">
      <c r="A61" s="53"/>
      <c r="B61" s="53"/>
      <c r="C61" s="40" t="s">
        <v>243</v>
      </c>
      <c r="E61" s="41">
        <f>1.5*1.85*0.25</f>
        <v>0.69375000000000009</v>
      </c>
      <c r="F61" s="54"/>
      <c r="G61" s="54"/>
    </row>
    <row r="62" spans="1:7" s="40" customFormat="1" x14ac:dyDescent="0.25">
      <c r="A62" s="53"/>
      <c r="B62" s="53"/>
      <c r="C62" s="40" t="s">
        <v>183</v>
      </c>
      <c r="E62" s="41">
        <f>2.3*0.8*0.25</f>
        <v>0.45999999999999996</v>
      </c>
      <c r="F62" s="54"/>
      <c r="G62" s="54"/>
    </row>
    <row r="63" spans="1:7" s="40" customFormat="1" x14ac:dyDescent="0.25">
      <c r="A63" s="53"/>
      <c r="B63" s="53"/>
      <c r="C63" s="40" t="s">
        <v>184</v>
      </c>
      <c r="E63" s="41">
        <f>0.3*0.3*0.4*2*2</f>
        <v>0.14399999999999999</v>
      </c>
      <c r="F63" s="54"/>
      <c r="G63" s="54"/>
    </row>
    <row r="64" spans="1:7" s="40" customFormat="1" ht="25.5" x14ac:dyDescent="0.25">
      <c r="A64" s="53"/>
      <c r="B64" s="53"/>
      <c r="C64" s="40" t="s">
        <v>185</v>
      </c>
      <c r="E64" s="41">
        <f>0.7*0.7*0.6*2*2</f>
        <v>1.1759999999999997</v>
      </c>
      <c r="F64" s="54"/>
      <c r="G64" s="54"/>
    </row>
    <row r="65" spans="1:7" s="40" customFormat="1" ht="25.5" x14ac:dyDescent="0.25">
      <c r="A65" s="53"/>
      <c r="B65" s="53"/>
      <c r="C65" s="40" t="s">
        <v>186</v>
      </c>
      <c r="E65" s="41">
        <f>0.7*0.7*0.6*3</f>
        <v>0.88199999999999978</v>
      </c>
      <c r="F65" s="54"/>
      <c r="G65" s="54"/>
    </row>
    <row r="66" spans="1:7" s="40" customFormat="1" ht="25.5" x14ac:dyDescent="0.25">
      <c r="A66" s="53"/>
      <c r="B66" s="53"/>
      <c r="C66" s="40" t="s">
        <v>187</v>
      </c>
      <c r="E66" s="41">
        <f>1.7*0.8*0.25</f>
        <v>0.34</v>
      </c>
      <c r="F66" s="54"/>
      <c r="G66" s="54"/>
    </row>
    <row r="67" spans="1:7" s="40" customFormat="1" ht="15" x14ac:dyDescent="0.25">
      <c r="A67" s="53"/>
      <c r="B67" s="53"/>
      <c r="D67" s="40" t="s">
        <v>165</v>
      </c>
      <c r="E67" s="41">
        <f>SUM(E59:E66)</f>
        <v>3.8504999999999994</v>
      </c>
      <c r="F67" s="54"/>
      <c r="G67" s="54">
        <f>E67*F67</f>
        <v>0</v>
      </c>
    </row>
    <row r="68" spans="1:7" s="40" customFormat="1" x14ac:dyDescent="0.25">
      <c r="A68" s="53"/>
      <c r="B68" s="53"/>
      <c r="E68" s="41"/>
      <c r="F68" s="54"/>
      <c r="G68" s="54"/>
    </row>
    <row r="69" spans="1:7" s="40" customFormat="1" ht="25.5" x14ac:dyDescent="0.25">
      <c r="A69" s="53">
        <f>A55</f>
        <v>2</v>
      </c>
      <c r="B69" s="53">
        <f>B57+1</f>
        <v>2</v>
      </c>
      <c r="C69" s="40" t="s">
        <v>159</v>
      </c>
      <c r="E69" s="41"/>
      <c r="F69" s="54"/>
      <c r="G69" s="54"/>
    </row>
    <row r="70" spans="1:7" s="40" customFormat="1" x14ac:dyDescent="0.25">
      <c r="A70" s="53"/>
      <c r="B70" s="53"/>
      <c r="C70" s="40" t="s">
        <v>13</v>
      </c>
      <c r="E70" s="41"/>
      <c r="F70" s="54"/>
      <c r="G70" s="54"/>
    </row>
    <row r="71" spans="1:7" s="40" customFormat="1" x14ac:dyDescent="0.25">
      <c r="A71" s="53"/>
      <c r="B71" s="53"/>
      <c r="C71" s="40" t="s">
        <v>188</v>
      </c>
      <c r="E71" s="41">
        <f>0.6*0.6*0.05</f>
        <v>1.7999999999999999E-2</v>
      </c>
      <c r="F71" s="54"/>
      <c r="G71" s="54"/>
    </row>
    <row r="72" spans="1:7" s="40" customFormat="1" x14ac:dyDescent="0.25">
      <c r="A72" s="53"/>
      <c r="B72" s="53"/>
      <c r="C72" s="40" t="s">
        <v>189</v>
      </c>
      <c r="E72" s="41">
        <f>1.25*0.55*0.05*2</f>
        <v>6.8750000000000006E-2</v>
      </c>
      <c r="F72" s="54"/>
      <c r="G72" s="54"/>
    </row>
    <row r="73" spans="1:7" s="40" customFormat="1" x14ac:dyDescent="0.25">
      <c r="A73" s="53"/>
      <c r="B73" s="53"/>
      <c r="C73" s="40" t="s">
        <v>244</v>
      </c>
      <c r="E73" s="41">
        <f>1.8*2.15*0.05</f>
        <v>0.19350000000000001</v>
      </c>
      <c r="F73" s="54"/>
      <c r="G73" s="54"/>
    </row>
    <row r="74" spans="1:7" s="40" customFormat="1" x14ac:dyDescent="0.25">
      <c r="A74" s="53"/>
      <c r="B74" s="53"/>
      <c r="C74" s="40" t="s">
        <v>176</v>
      </c>
      <c r="E74" s="41">
        <f>2.6*1.1*0.05</f>
        <v>0.14300000000000002</v>
      </c>
      <c r="F74" s="54"/>
      <c r="G74" s="54"/>
    </row>
    <row r="75" spans="1:7" s="40" customFormat="1" x14ac:dyDescent="0.25">
      <c r="A75" s="53"/>
      <c r="B75" s="53"/>
      <c r="C75" s="40" t="s">
        <v>177</v>
      </c>
      <c r="E75" s="41">
        <f>0.6*0.6*0.05*2*2</f>
        <v>7.1999999999999995E-2</v>
      </c>
      <c r="F75" s="54"/>
      <c r="G75" s="54"/>
    </row>
    <row r="76" spans="1:7" s="40" customFormat="1" x14ac:dyDescent="0.25">
      <c r="A76" s="53"/>
      <c r="B76" s="53"/>
      <c r="C76" s="40" t="s">
        <v>190</v>
      </c>
      <c r="E76" s="41">
        <f>1*1*0.05*2*2</f>
        <v>0.2</v>
      </c>
      <c r="F76" s="54"/>
      <c r="G76" s="54"/>
    </row>
    <row r="77" spans="1:7" s="40" customFormat="1" x14ac:dyDescent="0.25">
      <c r="A77" s="53"/>
      <c r="B77" s="53"/>
      <c r="C77" s="40" t="s">
        <v>179</v>
      </c>
      <c r="E77" s="41">
        <f>1*1*0.05*3</f>
        <v>0.15000000000000002</v>
      </c>
      <c r="F77" s="54"/>
      <c r="G77" s="54"/>
    </row>
    <row r="78" spans="1:7" s="40" customFormat="1" x14ac:dyDescent="0.25">
      <c r="A78" s="53"/>
      <c r="B78" s="53"/>
      <c r="C78" s="40" t="s">
        <v>191</v>
      </c>
      <c r="E78" s="41">
        <f>2*1.1*0.05</f>
        <v>0.11000000000000001</v>
      </c>
      <c r="F78" s="54"/>
      <c r="G78" s="54"/>
    </row>
    <row r="79" spans="1:7" s="40" customFormat="1" ht="15" x14ac:dyDescent="0.25">
      <c r="A79" s="53"/>
      <c r="B79" s="53"/>
      <c r="D79" s="40" t="s">
        <v>165</v>
      </c>
      <c r="E79" s="41">
        <f>SUM(E71:E78)</f>
        <v>0.95525000000000004</v>
      </c>
      <c r="F79" s="54"/>
      <c r="G79" s="54">
        <f>E79*F79</f>
        <v>0</v>
      </c>
    </row>
    <row r="80" spans="1:7" s="40" customFormat="1" x14ac:dyDescent="0.25">
      <c r="A80" s="53"/>
      <c r="B80" s="53"/>
      <c r="E80" s="41"/>
      <c r="F80" s="54"/>
      <c r="G80" s="54"/>
    </row>
    <row r="81" spans="1:7" s="40" customFormat="1" ht="63.75" x14ac:dyDescent="0.25">
      <c r="A81" s="53">
        <f>A55</f>
        <v>2</v>
      </c>
      <c r="B81" s="53">
        <f>B69+1</f>
        <v>3</v>
      </c>
      <c r="C81" s="40" t="s">
        <v>246</v>
      </c>
      <c r="E81" s="41"/>
      <c r="F81" s="54"/>
      <c r="G81" s="54"/>
    </row>
    <row r="82" spans="1:7" s="40" customFormat="1" x14ac:dyDescent="0.25">
      <c r="A82" s="53"/>
      <c r="B82" s="53"/>
      <c r="C82" s="40" t="s">
        <v>13</v>
      </c>
      <c r="E82" s="41"/>
      <c r="F82" s="54"/>
      <c r="G82" s="54"/>
    </row>
    <row r="83" spans="1:7" s="40" customFormat="1" x14ac:dyDescent="0.25">
      <c r="A83" s="53"/>
      <c r="B83" s="53"/>
      <c r="C83" s="40" t="s">
        <v>157</v>
      </c>
      <c r="E83" s="41">
        <f>19*(0.25*0.25*0.25+0.5*0.5*0.25)</f>
        <v>1.484375</v>
      </c>
      <c r="F83" s="54"/>
      <c r="G83" s="54"/>
    </row>
    <row r="84" spans="1:7" s="40" customFormat="1" x14ac:dyDescent="0.25">
      <c r="A84" s="53"/>
      <c r="B84" s="53"/>
      <c r="C84" s="40" t="s">
        <v>158</v>
      </c>
      <c r="E84" s="41">
        <f>4*0.25*0.12</f>
        <v>0.12</v>
      </c>
      <c r="F84" s="54"/>
      <c r="G84" s="54"/>
    </row>
    <row r="85" spans="1:7" s="40" customFormat="1" ht="15" x14ac:dyDescent="0.25">
      <c r="A85" s="53"/>
      <c r="B85" s="53"/>
      <c r="D85" s="40" t="s">
        <v>165</v>
      </c>
      <c r="E85" s="41">
        <f>E83+E84</f>
        <v>1.6043750000000001</v>
      </c>
      <c r="F85" s="54"/>
      <c r="G85" s="54">
        <f>E85*F85</f>
        <v>0</v>
      </c>
    </row>
    <row r="86" spans="1:7" s="40" customFormat="1" x14ac:dyDescent="0.25">
      <c r="A86" s="53"/>
      <c r="B86" s="53"/>
      <c r="E86" s="41"/>
      <c r="F86" s="54"/>
      <c r="G86" s="54"/>
    </row>
    <row r="87" spans="1:7" s="40" customFormat="1" ht="38.25" x14ac:dyDescent="0.25">
      <c r="A87" s="53">
        <f>A81</f>
        <v>2</v>
      </c>
      <c r="B87" s="53">
        <f>B81+1</f>
        <v>4</v>
      </c>
      <c r="C87" s="40" t="s">
        <v>160</v>
      </c>
      <c r="E87" s="41"/>
      <c r="F87" s="54"/>
      <c r="G87" s="54"/>
    </row>
    <row r="88" spans="1:7" s="40" customFormat="1" x14ac:dyDescent="0.25">
      <c r="A88" s="53"/>
      <c r="B88" s="53"/>
      <c r="C88" s="40" t="s">
        <v>13</v>
      </c>
      <c r="E88" s="41"/>
      <c r="F88" s="54"/>
      <c r="G88" s="54"/>
    </row>
    <row r="89" spans="1:7" s="40" customFormat="1" ht="15" x14ac:dyDescent="0.25">
      <c r="A89" s="53"/>
      <c r="B89" s="53"/>
      <c r="D89" s="40" t="s">
        <v>165</v>
      </c>
      <c r="E89" s="41">
        <f>19*0.8*0.8*0.05</f>
        <v>0.6080000000000001</v>
      </c>
      <c r="F89" s="54"/>
      <c r="G89" s="54">
        <f>E89*F89</f>
        <v>0</v>
      </c>
    </row>
    <row r="90" spans="1:7" s="40" customFormat="1" x14ac:dyDescent="0.25">
      <c r="A90" s="53"/>
      <c r="B90" s="53"/>
      <c r="E90" s="41"/>
      <c r="F90" s="54"/>
      <c r="G90" s="54"/>
    </row>
    <row r="91" spans="1:7" s="40" customFormat="1" ht="306" x14ac:dyDescent="0.25">
      <c r="A91" s="53">
        <f>A55</f>
        <v>2</v>
      </c>
      <c r="B91" s="53">
        <f>B87+1</f>
        <v>5</v>
      </c>
      <c r="C91" s="40" t="s">
        <v>161</v>
      </c>
      <c r="E91" s="41"/>
      <c r="F91" s="54"/>
      <c r="G91" s="54"/>
    </row>
    <row r="92" spans="1:7" s="40" customFormat="1" x14ac:dyDescent="0.25">
      <c r="A92" s="53"/>
      <c r="B92" s="53"/>
      <c r="C92" s="40" t="s">
        <v>14</v>
      </c>
      <c r="E92" s="41"/>
      <c r="F92" s="54"/>
      <c r="G92" s="54"/>
    </row>
    <row r="93" spans="1:7" s="40" customFormat="1" x14ac:dyDescent="0.25">
      <c r="A93" s="53"/>
      <c r="B93" s="53"/>
      <c r="C93" s="40" t="s">
        <v>188</v>
      </c>
      <c r="E93" s="41">
        <v>3</v>
      </c>
      <c r="F93" s="54"/>
      <c r="G93" s="54"/>
    </row>
    <row r="94" spans="1:7" s="40" customFormat="1" x14ac:dyDescent="0.25">
      <c r="A94" s="53"/>
      <c r="B94" s="53"/>
      <c r="C94" s="40" t="s">
        <v>189</v>
      </c>
      <c r="E94" s="41">
        <f>2.5*2</f>
        <v>5</v>
      </c>
      <c r="F94" s="54"/>
      <c r="G94" s="54"/>
    </row>
    <row r="95" spans="1:7" s="40" customFormat="1" x14ac:dyDescent="0.25">
      <c r="A95" s="53"/>
      <c r="B95" s="53"/>
      <c r="C95" s="40" t="s">
        <v>175</v>
      </c>
      <c r="E95" s="41">
        <v>30</v>
      </c>
      <c r="F95" s="54"/>
      <c r="G95" s="54"/>
    </row>
    <row r="96" spans="1:7" s="40" customFormat="1" x14ac:dyDescent="0.25">
      <c r="A96" s="53"/>
      <c r="B96" s="53"/>
      <c r="C96" s="40" t="s">
        <v>176</v>
      </c>
      <c r="E96" s="41">
        <v>20</v>
      </c>
      <c r="F96" s="54"/>
      <c r="G96" s="54"/>
    </row>
    <row r="97" spans="1:7" s="40" customFormat="1" x14ac:dyDescent="0.25">
      <c r="A97" s="53"/>
      <c r="B97" s="53"/>
      <c r="C97" s="40" t="s">
        <v>177</v>
      </c>
      <c r="E97" s="41">
        <f>2*3*2</f>
        <v>12</v>
      </c>
      <c r="F97" s="54"/>
      <c r="G97" s="54"/>
    </row>
    <row r="98" spans="1:7" s="40" customFormat="1" x14ac:dyDescent="0.25">
      <c r="A98" s="53"/>
      <c r="B98" s="53"/>
      <c r="C98" s="40" t="s">
        <v>190</v>
      </c>
      <c r="E98" s="41">
        <f>52*2</f>
        <v>104</v>
      </c>
      <c r="F98" s="54"/>
      <c r="G98" s="54"/>
    </row>
    <row r="99" spans="1:7" s="40" customFormat="1" x14ac:dyDescent="0.25">
      <c r="A99" s="53"/>
      <c r="B99" s="53"/>
      <c r="C99" s="40" t="s">
        <v>193</v>
      </c>
      <c r="E99" s="41">
        <f>26*3</f>
        <v>78</v>
      </c>
      <c r="F99" s="54"/>
      <c r="G99" s="54"/>
    </row>
    <row r="100" spans="1:7" s="40" customFormat="1" x14ac:dyDescent="0.25">
      <c r="A100" s="53"/>
      <c r="B100" s="53"/>
      <c r="C100" s="40" t="s">
        <v>192</v>
      </c>
      <c r="E100" s="41">
        <v>15</v>
      </c>
      <c r="F100" s="54"/>
      <c r="G100" s="54"/>
    </row>
    <row r="101" spans="1:7" s="40" customFormat="1" x14ac:dyDescent="0.25">
      <c r="A101" s="53"/>
      <c r="B101" s="53"/>
      <c r="D101" s="40" t="s">
        <v>42</v>
      </c>
      <c r="E101" s="41">
        <f>19*0.8*0.8*0.05</f>
        <v>0.6080000000000001</v>
      </c>
      <c r="F101" s="54"/>
      <c r="G101" s="54">
        <f>E101*F101</f>
        <v>0</v>
      </c>
    </row>
    <row r="102" spans="1:7" s="40" customFormat="1" x14ac:dyDescent="0.25">
      <c r="A102" s="53"/>
      <c r="B102" s="53"/>
      <c r="E102" s="41"/>
      <c r="F102" s="54"/>
      <c r="G102" s="54"/>
    </row>
    <row r="103" spans="1:7" s="65" customFormat="1" ht="25.5" x14ac:dyDescent="0.25">
      <c r="A103" s="64"/>
      <c r="B103" s="64"/>
      <c r="C103" s="65" t="s">
        <v>12</v>
      </c>
      <c r="E103" s="66">
        <f>SUM(E93:E102)</f>
        <v>267.608</v>
      </c>
      <c r="F103" s="67"/>
      <c r="G103" s="67">
        <f>SUM(G57:G102)</f>
        <v>0</v>
      </c>
    </row>
    <row r="104" spans="1:7" s="40" customFormat="1" x14ac:dyDescent="0.25">
      <c r="A104" s="53"/>
      <c r="B104" s="53"/>
      <c r="E104" s="41"/>
      <c r="F104" s="54"/>
      <c r="G104" s="54"/>
    </row>
    <row r="105" spans="1:7" s="62" customFormat="1" ht="15" x14ac:dyDescent="0.25">
      <c r="A105" s="127">
        <f>A55+1</f>
        <v>3</v>
      </c>
      <c r="B105" s="127"/>
      <c r="C105" s="59" t="s">
        <v>156</v>
      </c>
      <c r="D105" s="59"/>
      <c r="E105" s="60"/>
      <c r="F105" s="61"/>
      <c r="G105" s="61"/>
    </row>
    <row r="106" spans="1:7" s="40" customFormat="1" x14ac:dyDescent="0.25">
      <c r="A106" s="53"/>
      <c r="B106" s="53"/>
      <c r="E106" s="41"/>
      <c r="F106" s="54"/>
      <c r="G106" s="54"/>
    </row>
    <row r="107" spans="1:7" s="40" customFormat="1" ht="191.25" x14ac:dyDescent="0.25">
      <c r="A107" s="53">
        <f>A105</f>
        <v>3</v>
      </c>
      <c r="B107" s="53">
        <v>1</v>
      </c>
      <c r="C107" s="40" t="s">
        <v>100</v>
      </c>
      <c r="E107" s="41"/>
      <c r="F107" s="54"/>
      <c r="G107" s="54"/>
    </row>
    <row r="108" spans="1:7" s="40" customFormat="1" x14ac:dyDescent="0.25">
      <c r="A108" s="53"/>
      <c r="B108" s="53"/>
      <c r="C108" s="40" t="s">
        <v>35</v>
      </c>
      <c r="E108" s="41"/>
      <c r="F108" s="54"/>
      <c r="G108" s="54"/>
    </row>
    <row r="109" spans="1:7" s="40" customFormat="1" x14ac:dyDescent="0.25">
      <c r="A109" s="53"/>
      <c r="B109" s="53"/>
      <c r="E109" s="41"/>
      <c r="F109" s="54"/>
      <c r="G109" s="54"/>
    </row>
    <row r="110" spans="1:7" s="40" customFormat="1" x14ac:dyDescent="0.25">
      <c r="A110" s="53"/>
      <c r="B110" s="53"/>
      <c r="D110" s="40" t="s">
        <v>36</v>
      </c>
      <c r="E110" s="41">
        <v>57.3</v>
      </c>
      <c r="F110" s="54"/>
      <c r="G110" s="54">
        <f>F110*E110</f>
        <v>0</v>
      </c>
    </row>
    <row r="111" spans="1:7" s="40" customFormat="1" x14ac:dyDescent="0.25">
      <c r="A111" s="53"/>
      <c r="B111" s="53"/>
      <c r="E111" s="41"/>
      <c r="F111" s="54"/>
      <c r="G111" s="54"/>
    </row>
    <row r="112" spans="1:7" s="65" customFormat="1" x14ac:dyDescent="0.25">
      <c r="A112" s="64"/>
      <c r="B112" s="64"/>
      <c r="C112" s="65" t="s">
        <v>37</v>
      </c>
      <c r="E112" s="66">
        <f>SUM(E106:E111)</f>
        <v>57.3</v>
      </c>
      <c r="F112" s="67"/>
      <c r="G112" s="67">
        <f>SUM(G107:G111)</f>
        <v>0</v>
      </c>
    </row>
    <row r="113" spans="1:7" s="40" customFormat="1" x14ac:dyDescent="0.25">
      <c r="A113" s="53"/>
      <c r="B113" s="53"/>
      <c r="E113" s="41"/>
      <c r="F113" s="54"/>
      <c r="G113" s="54"/>
    </row>
    <row r="114" spans="1:7" s="62" customFormat="1" ht="30" x14ac:dyDescent="0.25">
      <c r="A114" s="127">
        <f>A105+1</f>
        <v>4</v>
      </c>
      <c r="B114" s="127"/>
      <c r="C114" s="59" t="s">
        <v>155</v>
      </c>
      <c r="D114" s="59"/>
      <c r="E114" s="60"/>
      <c r="F114" s="61"/>
      <c r="G114" s="61"/>
    </row>
    <row r="115" spans="1:7" s="40" customFormat="1" x14ac:dyDescent="0.25">
      <c r="A115" s="53"/>
      <c r="B115" s="53"/>
      <c r="E115" s="41"/>
      <c r="F115" s="54"/>
      <c r="G115" s="54"/>
    </row>
    <row r="116" spans="1:7" s="40" customFormat="1" ht="25.5" x14ac:dyDescent="0.25">
      <c r="A116" s="53">
        <f>A114</f>
        <v>4</v>
      </c>
      <c r="B116" s="53">
        <v>1</v>
      </c>
      <c r="C116" s="40" t="s">
        <v>70</v>
      </c>
      <c r="E116" s="41"/>
      <c r="F116" s="54"/>
      <c r="G116" s="54"/>
    </row>
    <row r="117" spans="1:7" s="40" customFormat="1" x14ac:dyDescent="0.25">
      <c r="A117" s="53"/>
      <c r="B117" s="53"/>
      <c r="C117" s="40" t="s">
        <v>71</v>
      </c>
      <c r="E117" s="41"/>
      <c r="F117" s="54"/>
      <c r="G117" s="54"/>
    </row>
    <row r="118" spans="1:7" s="40" customFormat="1" x14ac:dyDescent="0.25">
      <c r="A118" s="53"/>
      <c r="B118" s="53"/>
      <c r="D118" s="40" t="s">
        <v>72</v>
      </c>
      <c r="E118" s="41">
        <v>57</v>
      </c>
      <c r="F118" s="54"/>
      <c r="G118" s="54">
        <f>F118*E118</f>
        <v>0</v>
      </c>
    </row>
    <row r="119" spans="1:7" s="40" customFormat="1" x14ac:dyDescent="0.25">
      <c r="A119" s="53"/>
      <c r="B119" s="53"/>
      <c r="E119" s="41"/>
      <c r="F119" s="54"/>
      <c r="G119" s="54"/>
    </row>
    <row r="120" spans="1:7" s="65" customFormat="1" x14ac:dyDescent="0.25">
      <c r="A120" s="64"/>
      <c r="B120" s="64"/>
      <c r="C120" s="65" t="s">
        <v>73</v>
      </c>
      <c r="E120" s="66"/>
      <c r="F120" s="67"/>
      <c r="G120" s="67">
        <f>SUM(G116:G119)</f>
        <v>0</v>
      </c>
    </row>
    <row r="121" spans="1:7" s="40" customFormat="1" x14ac:dyDescent="0.25">
      <c r="A121" s="53"/>
      <c r="B121" s="53"/>
      <c r="E121" s="41"/>
      <c r="F121" s="54"/>
      <c r="G121" s="54"/>
    </row>
    <row r="122" spans="1:7" s="62" customFormat="1" ht="15" x14ac:dyDescent="0.25">
      <c r="A122" s="127">
        <f>A114+1</f>
        <v>5</v>
      </c>
      <c r="B122" s="127"/>
      <c r="C122" s="59" t="s">
        <v>152</v>
      </c>
      <c r="D122" s="59"/>
      <c r="E122" s="60"/>
      <c r="F122" s="61"/>
      <c r="G122" s="61"/>
    </row>
    <row r="123" spans="1:7" s="40" customFormat="1" x14ac:dyDescent="0.25">
      <c r="A123" s="53"/>
      <c r="B123" s="53"/>
      <c r="E123" s="41"/>
      <c r="F123" s="54"/>
      <c r="G123" s="54"/>
    </row>
    <row r="124" spans="1:7" s="40" customFormat="1" ht="25.5" x14ac:dyDescent="0.25">
      <c r="A124" s="53">
        <f>A122</f>
        <v>5</v>
      </c>
      <c r="B124" s="53">
        <v>1</v>
      </c>
      <c r="C124" s="40" t="s">
        <v>150</v>
      </c>
      <c r="E124" s="41"/>
      <c r="F124" s="54"/>
      <c r="G124" s="54"/>
    </row>
    <row r="125" spans="1:7" s="40" customFormat="1" x14ac:dyDescent="0.25">
      <c r="A125" s="53"/>
      <c r="B125" s="53"/>
      <c r="C125" s="40" t="s">
        <v>35</v>
      </c>
      <c r="E125" s="41"/>
      <c r="F125" s="54"/>
      <c r="G125" s="54"/>
    </row>
    <row r="126" spans="1:7" s="40" customFormat="1" x14ac:dyDescent="0.25">
      <c r="A126" s="53"/>
      <c r="B126" s="53"/>
      <c r="D126" s="40" t="s">
        <v>36</v>
      </c>
      <c r="E126" s="41">
        <v>45</v>
      </c>
      <c r="F126" s="54"/>
      <c r="G126" s="54">
        <f>E126*F126</f>
        <v>0</v>
      </c>
    </row>
    <row r="127" spans="1:7" s="40" customFormat="1" x14ac:dyDescent="0.25">
      <c r="A127" s="53"/>
      <c r="B127" s="53"/>
      <c r="E127" s="41"/>
      <c r="F127" s="54"/>
      <c r="G127" s="54"/>
    </row>
    <row r="128" spans="1:7" s="40" customFormat="1" ht="25.5" x14ac:dyDescent="0.25">
      <c r="A128" s="53">
        <f>A122</f>
        <v>5</v>
      </c>
      <c r="B128" s="53">
        <f>B124+1</f>
        <v>2</v>
      </c>
      <c r="C128" s="40" t="s">
        <v>151</v>
      </c>
      <c r="E128" s="41"/>
      <c r="F128" s="54"/>
      <c r="G128" s="54"/>
    </row>
    <row r="129" spans="1:7" s="40" customFormat="1" x14ac:dyDescent="0.25">
      <c r="A129" s="53"/>
      <c r="B129" s="53"/>
      <c r="C129" s="40" t="s">
        <v>35</v>
      </c>
      <c r="E129" s="41"/>
      <c r="F129" s="54"/>
      <c r="G129" s="54"/>
    </row>
    <row r="130" spans="1:7" s="40" customFormat="1" x14ac:dyDescent="0.25">
      <c r="A130" s="53"/>
      <c r="B130" s="53"/>
      <c r="D130" s="40" t="s">
        <v>36</v>
      </c>
      <c r="E130" s="41">
        <v>70</v>
      </c>
      <c r="F130" s="54"/>
      <c r="G130" s="54">
        <f>E130*F130</f>
        <v>0</v>
      </c>
    </row>
    <row r="131" spans="1:7" s="40" customFormat="1" x14ac:dyDescent="0.25">
      <c r="A131" s="53"/>
      <c r="B131" s="53"/>
      <c r="E131" s="41"/>
      <c r="F131" s="54"/>
      <c r="G131" s="54"/>
    </row>
    <row r="132" spans="1:7" s="40" customFormat="1" ht="25.5" x14ac:dyDescent="0.25">
      <c r="A132" s="53">
        <f>A122</f>
        <v>5</v>
      </c>
      <c r="B132" s="53">
        <f>B128+1</f>
        <v>3</v>
      </c>
      <c r="C132" s="40" t="s">
        <v>154</v>
      </c>
      <c r="E132" s="41"/>
      <c r="F132" s="54"/>
      <c r="G132" s="54"/>
    </row>
    <row r="133" spans="1:7" s="40" customFormat="1" x14ac:dyDescent="0.25">
      <c r="A133" s="53"/>
      <c r="B133" s="53"/>
      <c r="C133" s="40" t="s">
        <v>35</v>
      </c>
      <c r="E133" s="41"/>
      <c r="F133" s="54"/>
      <c r="G133" s="54"/>
    </row>
    <row r="134" spans="1:7" s="40" customFormat="1" x14ac:dyDescent="0.25">
      <c r="A134" s="53"/>
      <c r="B134" s="53"/>
      <c r="D134" s="40" t="s">
        <v>36</v>
      </c>
      <c r="E134" s="41">
        <v>40</v>
      </c>
      <c r="F134" s="54"/>
      <c r="G134" s="54">
        <f>E134*F134</f>
        <v>0</v>
      </c>
    </row>
    <row r="135" spans="1:7" s="40" customFormat="1" x14ac:dyDescent="0.25">
      <c r="A135" s="53"/>
      <c r="B135" s="53"/>
      <c r="E135" s="41"/>
      <c r="F135" s="54"/>
      <c r="G135" s="54"/>
    </row>
    <row r="136" spans="1:7" s="40" customFormat="1" ht="25.5" x14ac:dyDescent="0.25">
      <c r="A136" s="53">
        <f>A124</f>
        <v>5</v>
      </c>
      <c r="B136" s="53">
        <f>B132+1</f>
        <v>4</v>
      </c>
      <c r="C136" s="40" t="s">
        <v>247</v>
      </c>
      <c r="E136" s="41"/>
      <c r="F136" s="54"/>
      <c r="G136" s="54"/>
    </row>
    <row r="137" spans="1:7" s="40" customFormat="1" x14ac:dyDescent="0.25">
      <c r="A137" s="53"/>
      <c r="B137" s="53"/>
      <c r="C137" s="40" t="s">
        <v>74</v>
      </c>
      <c r="E137" s="41"/>
      <c r="F137" s="54"/>
      <c r="G137" s="54"/>
    </row>
    <row r="138" spans="1:7" s="40" customFormat="1" x14ac:dyDescent="0.25">
      <c r="A138" s="53"/>
      <c r="B138" s="53"/>
      <c r="D138" s="40" t="s">
        <v>72</v>
      </c>
      <c r="E138" s="41">
        <v>100</v>
      </c>
      <c r="F138" s="54"/>
      <c r="G138" s="54">
        <f>E138*F138</f>
        <v>0</v>
      </c>
    </row>
    <row r="139" spans="1:7" s="40" customFormat="1" x14ac:dyDescent="0.25">
      <c r="A139" s="53"/>
      <c r="B139" s="53"/>
      <c r="E139" s="41"/>
      <c r="F139" s="54"/>
      <c r="G139" s="54"/>
    </row>
    <row r="140" spans="1:7" s="65" customFormat="1" x14ac:dyDescent="0.25">
      <c r="A140" s="64"/>
      <c r="B140" s="64"/>
      <c r="C140" s="65" t="s">
        <v>75</v>
      </c>
      <c r="E140" s="66"/>
      <c r="F140" s="67"/>
      <c r="G140" s="67">
        <f>SUM(G124:G139)</f>
        <v>0</v>
      </c>
    </row>
    <row r="141" spans="1:7" s="40" customFormat="1" x14ac:dyDescent="0.25">
      <c r="A141" s="53"/>
      <c r="B141" s="53"/>
      <c r="E141" s="41"/>
      <c r="F141" s="54"/>
      <c r="G141" s="54"/>
    </row>
    <row r="142" spans="1:7" s="62" customFormat="1" ht="30" x14ac:dyDescent="0.25">
      <c r="A142" s="127">
        <f>A122+1</f>
        <v>6</v>
      </c>
      <c r="B142" s="127"/>
      <c r="C142" s="59" t="s">
        <v>153</v>
      </c>
      <c r="D142" s="59"/>
      <c r="E142" s="60"/>
      <c r="F142" s="61"/>
      <c r="G142" s="61"/>
    </row>
    <row r="143" spans="1:7" s="40" customFormat="1" x14ac:dyDescent="0.25">
      <c r="A143" s="53"/>
      <c r="B143" s="53"/>
      <c r="E143" s="41"/>
      <c r="F143" s="54"/>
      <c r="G143" s="54"/>
    </row>
    <row r="144" spans="1:7" s="40" customFormat="1" ht="51" x14ac:dyDescent="0.25">
      <c r="A144" s="53">
        <f>A142</f>
        <v>6</v>
      </c>
      <c r="B144" s="53">
        <f>B142+1</f>
        <v>1</v>
      </c>
      <c r="C144" s="40" t="s">
        <v>259</v>
      </c>
      <c r="E144" s="41"/>
      <c r="F144" s="54"/>
      <c r="G144" s="54"/>
    </row>
    <row r="145" spans="1:7" s="40" customFormat="1" x14ac:dyDescent="0.25">
      <c r="A145" s="53"/>
      <c r="B145" s="53"/>
      <c r="C145" s="40" t="s">
        <v>74</v>
      </c>
      <c r="E145" s="41"/>
      <c r="F145" s="54"/>
      <c r="G145" s="54"/>
    </row>
    <row r="146" spans="1:7" s="40" customFormat="1" x14ac:dyDescent="0.25">
      <c r="A146" s="53"/>
      <c r="B146" s="53"/>
      <c r="D146" s="40" t="s">
        <v>72</v>
      </c>
      <c r="E146" s="41">
        <v>50</v>
      </c>
      <c r="F146" s="54"/>
      <c r="G146" s="54">
        <f>E146*F146</f>
        <v>0</v>
      </c>
    </row>
    <row r="147" spans="1:7" s="40" customFormat="1" x14ac:dyDescent="0.25">
      <c r="A147" s="53"/>
      <c r="B147" s="53"/>
      <c r="E147" s="41"/>
      <c r="F147" s="54"/>
      <c r="G147" s="54"/>
    </row>
    <row r="148" spans="1:7" s="65" customFormat="1" x14ac:dyDescent="0.25">
      <c r="A148" s="64"/>
      <c r="B148" s="64"/>
      <c r="C148" s="65" t="s">
        <v>77</v>
      </c>
      <c r="E148" s="66"/>
      <c r="F148" s="67"/>
      <c r="G148" s="67">
        <f>SUM(G144:G147)</f>
        <v>0</v>
      </c>
    </row>
    <row r="149" spans="1:7" s="40" customFormat="1" x14ac:dyDescent="0.25">
      <c r="A149" s="53"/>
      <c r="B149" s="53"/>
      <c r="E149" s="41"/>
      <c r="F149" s="54"/>
      <c r="G149" s="54"/>
    </row>
    <row r="150" spans="1:7" s="62" customFormat="1" ht="15" x14ac:dyDescent="0.25">
      <c r="A150" s="127">
        <f>A142+1</f>
        <v>7</v>
      </c>
      <c r="B150" s="127"/>
      <c r="C150" s="59" t="s">
        <v>16</v>
      </c>
      <c r="D150" s="59"/>
      <c r="E150" s="60"/>
      <c r="F150" s="61"/>
      <c r="G150" s="61"/>
    </row>
    <row r="151" spans="1:7" s="40" customFormat="1" x14ac:dyDescent="0.25">
      <c r="A151" s="53"/>
      <c r="B151" s="53"/>
      <c r="E151" s="41"/>
      <c r="F151" s="54"/>
      <c r="G151" s="54"/>
    </row>
    <row r="152" spans="1:7" s="40" customFormat="1" x14ac:dyDescent="0.25">
      <c r="A152" s="53">
        <f>A150</f>
        <v>7</v>
      </c>
      <c r="B152" s="53">
        <f>B150+1</f>
        <v>1</v>
      </c>
      <c r="C152" s="28" t="s">
        <v>258</v>
      </c>
      <c r="E152" s="41"/>
      <c r="F152" s="54"/>
      <c r="G152" s="54"/>
    </row>
    <row r="153" spans="1:7" s="40" customFormat="1" x14ac:dyDescent="0.25">
      <c r="A153" s="53"/>
      <c r="B153" s="53"/>
      <c r="C153" s="40" t="s">
        <v>19</v>
      </c>
      <c r="E153" s="41"/>
      <c r="F153" s="54"/>
      <c r="G153" s="54"/>
    </row>
    <row r="154" spans="1:7" s="40" customFormat="1" x14ac:dyDescent="0.25">
      <c r="A154" s="53"/>
      <c r="B154" s="53"/>
      <c r="C154" s="40" t="s">
        <v>69</v>
      </c>
      <c r="E154" s="68">
        <v>1</v>
      </c>
      <c r="F154" s="54"/>
      <c r="G154" s="54">
        <f t="shared" ref="G154:G162" si="0">E154*F154</f>
        <v>0</v>
      </c>
    </row>
    <row r="155" spans="1:7" s="40" customFormat="1" x14ac:dyDescent="0.25">
      <c r="A155" s="53"/>
      <c r="B155" s="53"/>
      <c r="C155" s="40" t="s">
        <v>78</v>
      </c>
      <c r="E155" s="68">
        <v>2</v>
      </c>
      <c r="F155" s="54"/>
      <c r="G155" s="54">
        <f t="shared" si="0"/>
        <v>0</v>
      </c>
    </row>
    <row r="156" spans="1:7" s="40" customFormat="1" x14ac:dyDescent="0.25">
      <c r="A156" s="53"/>
      <c r="B156" s="53"/>
      <c r="C156" s="40" t="s">
        <v>79</v>
      </c>
      <c r="E156" s="68">
        <v>1</v>
      </c>
      <c r="F156" s="54"/>
      <c r="G156" s="54">
        <f t="shared" si="0"/>
        <v>0</v>
      </c>
    </row>
    <row r="157" spans="1:7" s="40" customFormat="1" x14ac:dyDescent="0.25">
      <c r="A157" s="53"/>
      <c r="B157" s="53"/>
      <c r="C157" s="40" t="s">
        <v>80</v>
      </c>
      <c r="E157" s="68">
        <v>2</v>
      </c>
      <c r="F157" s="54"/>
      <c r="G157" s="54">
        <f t="shared" si="0"/>
        <v>0</v>
      </c>
    </row>
    <row r="158" spans="1:7" s="40" customFormat="1" x14ac:dyDescent="0.25">
      <c r="A158" s="53"/>
      <c r="B158" s="53"/>
      <c r="C158" s="40" t="s">
        <v>81</v>
      </c>
      <c r="E158" s="68">
        <v>2</v>
      </c>
      <c r="F158" s="54"/>
      <c r="G158" s="54">
        <f t="shared" si="0"/>
        <v>0</v>
      </c>
    </row>
    <row r="159" spans="1:7" s="40" customFormat="1" x14ac:dyDescent="0.25">
      <c r="A159" s="53"/>
      <c r="B159" s="53"/>
      <c r="C159" s="40" t="s">
        <v>82</v>
      </c>
      <c r="E159" s="68">
        <v>1</v>
      </c>
      <c r="F159" s="54"/>
      <c r="G159" s="54">
        <f t="shared" si="0"/>
        <v>0</v>
      </c>
    </row>
    <row r="160" spans="1:7" s="40" customFormat="1" x14ac:dyDescent="0.25">
      <c r="A160" s="53"/>
      <c r="B160" s="53"/>
      <c r="C160" s="40" t="s">
        <v>83</v>
      </c>
      <c r="E160" s="68">
        <v>1</v>
      </c>
      <c r="F160" s="54"/>
      <c r="G160" s="54">
        <f t="shared" si="0"/>
        <v>0</v>
      </c>
    </row>
    <row r="161" spans="1:7" s="40" customFormat="1" x14ac:dyDescent="0.25">
      <c r="A161" s="53"/>
      <c r="B161" s="53"/>
      <c r="C161" s="40" t="s">
        <v>84</v>
      </c>
      <c r="E161" s="68">
        <v>1</v>
      </c>
      <c r="F161" s="54"/>
      <c r="G161" s="54">
        <f t="shared" si="0"/>
        <v>0</v>
      </c>
    </row>
    <row r="162" spans="1:7" s="40" customFormat="1" x14ac:dyDescent="0.25">
      <c r="A162" s="53"/>
      <c r="B162" s="53"/>
      <c r="C162" s="40" t="s">
        <v>85</v>
      </c>
      <c r="E162" s="68">
        <v>1</v>
      </c>
      <c r="F162" s="54"/>
      <c r="G162" s="54">
        <f t="shared" si="0"/>
        <v>0</v>
      </c>
    </row>
    <row r="163" spans="1:7" s="40" customFormat="1" x14ac:dyDescent="0.25">
      <c r="A163" s="53"/>
      <c r="B163" s="53"/>
      <c r="E163" s="41"/>
      <c r="F163" s="54"/>
      <c r="G163" s="54"/>
    </row>
    <row r="164" spans="1:7" s="65" customFormat="1" x14ac:dyDescent="0.25">
      <c r="A164" s="64"/>
      <c r="B164" s="64"/>
      <c r="C164" s="65" t="s">
        <v>18</v>
      </c>
      <c r="E164" s="66"/>
      <c r="F164" s="67"/>
      <c r="G164" s="67">
        <f>SUM(G152:G163)</f>
        <v>0</v>
      </c>
    </row>
    <row r="165" spans="1:7" s="40" customFormat="1" x14ac:dyDescent="0.25">
      <c r="A165" s="53"/>
      <c r="B165" s="53"/>
      <c r="E165" s="41"/>
      <c r="F165" s="54"/>
      <c r="G165" s="54"/>
    </row>
    <row r="166" spans="1:7" s="82" customFormat="1" ht="15" x14ac:dyDescent="0.25">
      <c r="A166" s="126">
        <f>A150+1</f>
        <v>8</v>
      </c>
      <c r="B166" s="126"/>
      <c r="C166" s="102" t="s">
        <v>229</v>
      </c>
      <c r="D166" s="102"/>
      <c r="E166" s="81"/>
      <c r="F166" s="102"/>
      <c r="G166" s="102"/>
    </row>
    <row r="167" spans="1:7" s="28" customFormat="1" x14ac:dyDescent="0.25">
      <c r="A167" s="79"/>
      <c r="B167" s="79"/>
      <c r="E167" s="9"/>
    </row>
    <row r="168" spans="1:7" s="28" customFormat="1" x14ac:dyDescent="0.25">
      <c r="A168" s="79">
        <f>A166</f>
        <v>8</v>
      </c>
      <c r="B168" s="79">
        <v>1</v>
      </c>
      <c r="C168" s="28" t="s">
        <v>230</v>
      </c>
      <c r="E168" s="9"/>
    </row>
    <row r="169" spans="1:7" s="28" customFormat="1" x14ac:dyDescent="0.25">
      <c r="A169" s="79"/>
      <c r="B169" s="79"/>
      <c r="C169" s="28" t="s">
        <v>19</v>
      </c>
      <c r="E169" s="9"/>
    </row>
    <row r="170" spans="1:7" s="28" customFormat="1" ht="25.5" x14ac:dyDescent="0.25">
      <c r="A170" s="79"/>
      <c r="B170" s="79"/>
      <c r="C170" s="28" t="s">
        <v>254</v>
      </c>
      <c r="E170" s="101">
        <v>3</v>
      </c>
      <c r="G170" s="83">
        <f t="shared" ref="G170:G171" si="1">E170*F170</f>
        <v>0</v>
      </c>
    </row>
    <row r="171" spans="1:7" s="28" customFormat="1" x14ac:dyDescent="0.25">
      <c r="A171" s="79"/>
      <c r="B171" s="79"/>
      <c r="C171" s="28" t="s">
        <v>251</v>
      </c>
      <c r="E171" s="101">
        <v>6</v>
      </c>
      <c r="G171" s="83">
        <f t="shared" si="1"/>
        <v>0</v>
      </c>
    </row>
    <row r="172" spans="1:7" s="28" customFormat="1" x14ac:dyDescent="0.25">
      <c r="A172" s="79"/>
      <c r="B172" s="79"/>
      <c r="E172" s="9"/>
      <c r="G172" s="83"/>
    </row>
    <row r="173" spans="1:7" s="85" customFormat="1" x14ac:dyDescent="0.25">
      <c r="A173" s="84"/>
      <c r="B173" s="84"/>
      <c r="C173" s="85" t="s">
        <v>231</v>
      </c>
      <c r="E173" s="86"/>
      <c r="G173" s="87">
        <f>SUM(G168:G172)</f>
        <v>0</v>
      </c>
    </row>
    <row r="174" spans="1:7" s="28" customFormat="1" x14ac:dyDescent="0.25">
      <c r="A174" s="79"/>
      <c r="B174" s="79"/>
      <c r="E174" s="9"/>
    </row>
    <row r="175" spans="1:7" s="62" customFormat="1" ht="15" x14ac:dyDescent="0.25">
      <c r="A175" s="136" t="s">
        <v>17</v>
      </c>
      <c r="B175" s="136"/>
      <c r="C175" s="136"/>
      <c r="D175" s="136"/>
      <c r="E175" s="136"/>
      <c r="F175" s="136"/>
      <c r="G175" s="136"/>
    </row>
    <row r="176" spans="1:7" s="40" customFormat="1" x14ac:dyDescent="0.25">
      <c r="A176" s="53"/>
      <c r="B176" s="53"/>
      <c r="E176" s="41"/>
      <c r="F176" s="54"/>
      <c r="G176" s="54"/>
    </row>
    <row r="177" spans="1:7" s="40" customFormat="1" x14ac:dyDescent="0.25">
      <c r="A177" s="53"/>
      <c r="B177" s="53">
        <v>1</v>
      </c>
      <c r="C177" s="40" t="str">
        <f>C6</f>
        <v>ZEMLJANI RADOVI</v>
      </c>
      <c r="E177" s="41"/>
      <c r="F177" s="54"/>
      <c r="G177" s="54">
        <f>G53</f>
        <v>0</v>
      </c>
    </row>
    <row r="178" spans="1:7" s="40" customFormat="1" ht="26.25" customHeight="1" x14ac:dyDescent="0.25">
      <c r="A178" s="53"/>
      <c r="B178" s="53">
        <f t="shared" ref="B178:B183" si="2">B177+1</f>
        <v>2</v>
      </c>
      <c r="C178" s="40" t="str">
        <f>C55</f>
        <v>BETONSKI I ARMIRANOBETONSKI RADOVI</v>
      </c>
      <c r="E178" s="41"/>
      <c r="F178" s="54"/>
      <c r="G178" s="54">
        <f>G103</f>
        <v>0</v>
      </c>
    </row>
    <row r="179" spans="1:7" s="40" customFormat="1" x14ac:dyDescent="0.25">
      <c r="A179" s="53"/>
      <c r="B179" s="53">
        <f t="shared" si="2"/>
        <v>3</v>
      </c>
      <c r="C179" s="40" t="str">
        <f>C105</f>
        <v>ZIDARSKI RADOVI-rubnjake</v>
      </c>
      <c r="E179" s="41"/>
      <c r="F179" s="54"/>
      <c r="G179" s="54">
        <f>G112</f>
        <v>0</v>
      </c>
    </row>
    <row r="180" spans="1:7" s="40" customFormat="1" x14ac:dyDescent="0.25">
      <c r="A180" s="53"/>
      <c r="B180" s="53">
        <f t="shared" si="2"/>
        <v>4</v>
      </c>
      <c r="C180" s="40" t="str">
        <f>C114</f>
        <v>IZOLATERSKI RADOVI-za joga platformu</v>
      </c>
      <c r="E180" s="41"/>
      <c r="F180" s="54"/>
      <c r="G180" s="54">
        <f>G120</f>
        <v>0</v>
      </c>
    </row>
    <row r="181" spans="1:7" s="40" customFormat="1" x14ac:dyDescent="0.25">
      <c r="A181" s="53"/>
      <c r="B181" s="53">
        <f t="shared" si="2"/>
        <v>5</v>
      </c>
      <c r="C181" s="40" t="str">
        <f>C122</f>
        <v>TESARSKI RADOVI-za joga platformu</v>
      </c>
      <c r="E181" s="41"/>
      <c r="F181" s="54"/>
      <c r="G181" s="54">
        <f>G140</f>
        <v>0</v>
      </c>
    </row>
    <row r="182" spans="1:7" s="40" customFormat="1" x14ac:dyDescent="0.25">
      <c r="A182" s="53"/>
      <c r="B182" s="53">
        <f t="shared" si="2"/>
        <v>6</v>
      </c>
      <c r="C182" s="40" t="s">
        <v>76</v>
      </c>
      <c r="E182" s="41"/>
      <c r="F182" s="54"/>
      <c r="G182" s="54">
        <f>G148</f>
        <v>0</v>
      </c>
    </row>
    <row r="183" spans="1:7" s="40" customFormat="1" x14ac:dyDescent="0.25">
      <c r="A183" s="53"/>
      <c r="B183" s="53">
        <f t="shared" si="2"/>
        <v>7</v>
      </c>
      <c r="C183" s="40" t="str">
        <f>C150</f>
        <v>MONTAŽERSKI RADOVI</v>
      </c>
      <c r="E183" s="41"/>
      <c r="F183" s="54"/>
      <c r="G183" s="54">
        <f>G164</f>
        <v>0</v>
      </c>
    </row>
    <row r="184" spans="1:7" s="40" customFormat="1" x14ac:dyDescent="0.25">
      <c r="A184" s="53"/>
      <c r="B184" s="53">
        <f>B183+1</f>
        <v>8</v>
      </c>
      <c r="C184" s="40" t="s">
        <v>229</v>
      </c>
      <c r="E184" s="41"/>
      <c r="F184" s="54"/>
      <c r="G184" s="54">
        <f>G173</f>
        <v>0</v>
      </c>
    </row>
    <row r="185" spans="1:7" s="40" customFormat="1" x14ac:dyDescent="0.25">
      <c r="A185" s="53"/>
      <c r="B185" s="53"/>
      <c r="E185" s="41"/>
      <c r="F185" s="54"/>
      <c r="G185" s="54"/>
    </row>
    <row r="186" spans="1:7" s="40" customFormat="1" x14ac:dyDescent="0.25">
      <c r="A186" s="53"/>
      <c r="B186" s="53"/>
      <c r="C186" s="40" t="s">
        <v>86</v>
      </c>
      <c r="E186" s="41"/>
      <c r="F186" s="54"/>
      <c r="G186" s="54">
        <f>SUM(G177:G185)</f>
        <v>0</v>
      </c>
    </row>
  </sheetData>
  <mergeCells count="12">
    <mergeCell ref="A1:G1"/>
    <mergeCell ref="A2:G2"/>
    <mergeCell ref="A4:B4"/>
    <mergeCell ref="A6:B6"/>
    <mergeCell ref="A150:B150"/>
    <mergeCell ref="A175:G175"/>
    <mergeCell ref="A55:B55"/>
    <mergeCell ref="A105:B105"/>
    <mergeCell ref="A114:B114"/>
    <mergeCell ref="A122:B122"/>
    <mergeCell ref="A142:B142"/>
    <mergeCell ref="A166:B166"/>
  </mergeCells>
  <pageMargins left="0.70866141732283472" right="0.70866141732283472" top="0.74803149606299213" bottom="0.74803149606299213" header="0.31496062992125984" footer="0.31496062992125984"/>
  <pageSetup paperSize="9" scale="92" orientation="portrait" r:id="rId1"/>
  <rowBreaks count="6" manualBreakCount="6">
    <brk id="12" max="6" man="1"/>
    <brk id="25" max="6" man="1"/>
    <brk id="54" max="6" man="1"/>
    <brk id="86" max="6" man="1"/>
    <brk id="104" max="6" man="1"/>
    <brk id="13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52"/>
  <sheetViews>
    <sheetView view="pageBreakPreview" zoomScaleNormal="100" zoomScaleSheetLayoutView="100" workbookViewId="0">
      <selection activeCell="A2" sqref="A2:G2"/>
    </sheetView>
  </sheetViews>
  <sheetFormatPr defaultRowHeight="15" x14ac:dyDescent="0.25"/>
  <cols>
    <col min="1" max="2" width="4" customWidth="1"/>
    <col min="3" max="3" width="45.7109375" customWidth="1"/>
    <col min="4" max="4" width="6.5703125" customWidth="1"/>
    <col min="5" max="5" width="9.85546875" customWidth="1"/>
    <col min="6" max="6" width="10.7109375" customWidth="1"/>
    <col min="7" max="7" width="14.42578125" style="70" customWidth="1"/>
  </cols>
  <sheetData>
    <row r="1" spans="1:8" ht="16.5" customHeight="1" thickBot="1" x14ac:dyDescent="0.3">
      <c r="A1" s="137" t="s">
        <v>38</v>
      </c>
      <c r="B1" s="138"/>
      <c r="C1" s="138"/>
      <c r="D1" s="138"/>
      <c r="E1" s="138"/>
      <c r="F1" s="138"/>
      <c r="G1" s="139"/>
    </row>
    <row r="2" spans="1:8" ht="31.5" customHeight="1" thickBot="1" x14ac:dyDescent="0.3">
      <c r="A2" s="140" t="s">
        <v>7</v>
      </c>
      <c r="B2" s="141"/>
      <c r="C2" s="141"/>
      <c r="D2" s="141"/>
      <c r="E2" s="141"/>
      <c r="F2" s="141"/>
      <c r="G2" s="142"/>
    </row>
    <row r="3" spans="1:8" s="40" customFormat="1" ht="13.5" thickBot="1" x14ac:dyDescent="0.3">
      <c r="A3" s="53"/>
      <c r="B3" s="53"/>
      <c r="E3" s="41"/>
      <c r="F3" s="54"/>
      <c r="G3" s="54"/>
    </row>
    <row r="4" spans="1:8" s="40" customFormat="1" ht="26.25" thickBot="1" x14ac:dyDescent="0.3">
      <c r="A4" s="143"/>
      <c r="B4" s="144"/>
      <c r="C4" s="144"/>
      <c r="D4" s="144"/>
      <c r="E4" s="144"/>
      <c r="F4" s="145"/>
      <c r="G4" s="58" t="s">
        <v>5</v>
      </c>
    </row>
    <row r="5" spans="1:8" s="40" customFormat="1" ht="12.75" x14ac:dyDescent="0.25">
      <c r="A5" s="53"/>
      <c r="B5" s="53"/>
      <c r="E5" s="41"/>
      <c r="F5" s="54"/>
      <c r="G5" s="54"/>
    </row>
    <row r="7" spans="1:8" x14ac:dyDescent="0.25">
      <c r="A7">
        <v>1</v>
      </c>
      <c r="C7" t="s">
        <v>87</v>
      </c>
      <c r="G7" s="69">
        <f>'BICIKLISTIČKA STAZA'!G413</f>
        <v>0</v>
      </c>
      <c r="H7" s="1"/>
    </row>
    <row r="8" spans="1:8" x14ac:dyDescent="0.25">
      <c r="A8">
        <v>2</v>
      </c>
      <c r="C8" t="s">
        <v>88</v>
      </c>
      <c r="G8" s="69">
        <f>'PIKNIK PARK'!G176</f>
        <v>0</v>
      </c>
      <c r="H8" s="1"/>
    </row>
    <row r="9" spans="1:8" x14ac:dyDescent="0.25">
      <c r="A9">
        <v>3</v>
      </c>
      <c r="C9" t="s">
        <v>89</v>
      </c>
      <c r="G9" s="69">
        <f>TERETANA!G186</f>
        <v>0</v>
      </c>
      <c r="H9" s="1"/>
    </row>
    <row r="10" spans="1:8" x14ac:dyDescent="0.25">
      <c r="G10" s="69"/>
      <c r="H10" s="1"/>
    </row>
    <row r="11" spans="1:8" s="71" customFormat="1" x14ac:dyDescent="0.25">
      <c r="C11" s="71" t="s">
        <v>90</v>
      </c>
      <c r="G11" s="72">
        <f>SUM(G5:G10)</f>
        <v>0</v>
      </c>
      <c r="H11" s="73"/>
    </row>
    <row r="12" spans="1:8" x14ac:dyDescent="0.25">
      <c r="G12" s="69"/>
      <c r="H12" s="1"/>
    </row>
    <row r="13" spans="1:8" x14ac:dyDescent="0.25">
      <c r="G13" s="69"/>
      <c r="H13" s="1"/>
    </row>
    <row r="14" spans="1:8" x14ac:dyDescent="0.25">
      <c r="G14" s="69"/>
      <c r="H14" s="1"/>
    </row>
    <row r="15" spans="1:8" x14ac:dyDescent="0.25">
      <c r="G15" s="69"/>
      <c r="H15" s="1"/>
    </row>
    <row r="16" spans="1:8" x14ac:dyDescent="0.25">
      <c r="G16" s="69"/>
      <c r="H16" s="1"/>
    </row>
    <row r="17" spans="7:8" x14ac:dyDescent="0.25">
      <c r="G17" s="69"/>
      <c r="H17" s="1"/>
    </row>
    <row r="18" spans="7:8" x14ac:dyDescent="0.25">
      <c r="G18" s="69"/>
      <c r="H18" s="1"/>
    </row>
    <row r="19" spans="7:8" x14ac:dyDescent="0.25">
      <c r="G19" s="69"/>
      <c r="H19" s="1"/>
    </row>
    <row r="20" spans="7:8" x14ac:dyDescent="0.25">
      <c r="G20" s="69"/>
      <c r="H20" s="1"/>
    </row>
    <row r="21" spans="7:8" x14ac:dyDescent="0.25">
      <c r="G21" s="69"/>
      <c r="H21" s="1"/>
    </row>
    <row r="22" spans="7:8" x14ac:dyDescent="0.25">
      <c r="G22" s="69"/>
      <c r="H22" s="1"/>
    </row>
    <row r="23" spans="7:8" x14ac:dyDescent="0.25">
      <c r="G23" s="69"/>
      <c r="H23" s="1"/>
    </row>
    <row r="24" spans="7:8" x14ac:dyDescent="0.25">
      <c r="G24" s="69"/>
      <c r="H24" s="1"/>
    </row>
    <row r="25" spans="7:8" x14ac:dyDescent="0.25">
      <c r="G25" s="69"/>
      <c r="H25" s="1"/>
    </row>
    <row r="26" spans="7:8" x14ac:dyDescent="0.25">
      <c r="G26" s="69"/>
      <c r="H26" s="1"/>
    </row>
    <row r="27" spans="7:8" x14ac:dyDescent="0.25">
      <c r="G27" s="69"/>
      <c r="H27" s="1"/>
    </row>
    <row r="28" spans="7:8" x14ac:dyDescent="0.25">
      <c r="G28" s="69"/>
      <c r="H28" s="1"/>
    </row>
    <row r="29" spans="7:8" x14ac:dyDescent="0.25">
      <c r="G29" s="69"/>
      <c r="H29" s="1"/>
    </row>
    <row r="30" spans="7:8" x14ac:dyDescent="0.25">
      <c r="G30" s="69"/>
      <c r="H30" s="1"/>
    </row>
    <row r="31" spans="7:8" x14ac:dyDescent="0.25">
      <c r="G31" s="69"/>
      <c r="H31" s="1"/>
    </row>
    <row r="32" spans="7:8" x14ac:dyDescent="0.25">
      <c r="G32" s="69"/>
      <c r="H32" s="1"/>
    </row>
    <row r="33" spans="7:8" x14ac:dyDescent="0.25">
      <c r="G33" s="69"/>
      <c r="H33" s="1"/>
    </row>
    <row r="34" spans="7:8" x14ac:dyDescent="0.25">
      <c r="G34" s="69"/>
      <c r="H34" s="1"/>
    </row>
    <row r="35" spans="7:8" x14ac:dyDescent="0.25">
      <c r="G35" s="69"/>
      <c r="H35" s="1"/>
    </row>
    <row r="36" spans="7:8" x14ac:dyDescent="0.25">
      <c r="G36" s="69"/>
      <c r="H36" s="1"/>
    </row>
    <row r="37" spans="7:8" x14ac:dyDescent="0.25">
      <c r="G37" s="69"/>
      <c r="H37" s="1"/>
    </row>
    <row r="38" spans="7:8" x14ac:dyDescent="0.25">
      <c r="G38" s="69"/>
      <c r="H38" s="1"/>
    </row>
    <row r="39" spans="7:8" x14ac:dyDescent="0.25">
      <c r="G39" s="69"/>
      <c r="H39" s="1"/>
    </row>
    <row r="40" spans="7:8" x14ac:dyDescent="0.25">
      <c r="G40" s="69"/>
      <c r="H40" s="1"/>
    </row>
    <row r="41" spans="7:8" x14ac:dyDescent="0.25">
      <c r="G41" s="69"/>
      <c r="H41" s="1"/>
    </row>
    <row r="42" spans="7:8" x14ac:dyDescent="0.25">
      <c r="G42" s="69"/>
      <c r="H42" s="1"/>
    </row>
    <row r="43" spans="7:8" x14ac:dyDescent="0.25">
      <c r="G43" s="69"/>
      <c r="H43" s="1"/>
    </row>
    <row r="44" spans="7:8" x14ac:dyDescent="0.25">
      <c r="G44" s="69"/>
      <c r="H44" s="1"/>
    </row>
    <row r="45" spans="7:8" x14ac:dyDescent="0.25">
      <c r="G45" s="69"/>
      <c r="H45" s="1"/>
    </row>
    <row r="46" spans="7:8" x14ac:dyDescent="0.25">
      <c r="G46" s="69"/>
      <c r="H46" s="1"/>
    </row>
    <row r="47" spans="7:8" x14ac:dyDescent="0.25">
      <c r="G47" s="69"/>
      <c r="H47" s="1"/>
    </row>
    <row r="48" spans="7:8" x14ac:dyDescent="0.25">
      <c r="G48" s="69"/>
      <c r="H48" s="1"/>
    </row>
    <row r="49" spans="7:8" x14ac:dyDescent="0.25">
      <c r="G49" s="69"/>
      <c r="H49" s="1"/>
    </row>
    <row r="50" spans="7:8" x14ac:dyDescent="0.25">
      <c r="G50" s="69"/>
      <c r="H50" s="1"/>
    </row>
    <row r="51" spans="7:8" x14ac:dyDescent="0.25">
      <c r="G51" s="69"/>
      <c r="H51" s="1"/>
    </row>
    <row r="52" spans="7:8" x14ac:dyDescent="0.25">
      <c r="G52" s="69"/>
      <c r="H52" s="1"/>
    </row>
    <row r="53" spans="7:8" x14ac:dyDescent="0.25">
      <c r="G53" s="69"/>
      <c r="H53" s="1"/>
    </row>
    <row r="54" spans="7:8" x14ac:dyDescent="0.25">
      <c r="G54" s="69"/>
      <c r="H54" s="1"/>
    </row>
    <row r="55" spans="7:8" x14ac:dyDescent="0.25">
      <c r="G55" s="69"/>
      <c r="H55" s="1"/>
    </row>
    <row r="56" spans="7:8" x14ac:dyDescent="0.25">
      <c r="G56" s="69"/>
      <c r="H56" s="1"/>
    </row>
    <row r="57" spans="7:8" x14ac:dyDescent="0.25">
      <c r="G57" s="69"/>
      <c r="H57" s="1"/>
    </row>
    <row r="58" spans="7:8" x14ac:dyDescent="0.25">
      <c r="G58" s="69"/>
      <c r="H58" s="1"/>
    </row>
    <row r="59" spans="7:8" x14ac:dyDescent="0.25">
      <c r="G59" s="69"/>
      <c r="H59" s="1"/>
    </row>
    <row r="60" spans="7:8" x14ac:dyDescent="0.25">
      <c r="G60" s="69"/>
      <c r="H60" s="1"/>
    </row>
    <row r="61" spans="7:8" x14ac:dyDescent="0.25">
      <c r="G61" s="69"/>
      <c r="H61" s="1"/>
    </row>
    <row r="62" spans="7:8" x14ac:dyDescent="0.25">
      <c r="G62" s="69"/>
      <c r="H62" s="1"/>
    </row>
    <row r="63" spans="7:8" x14ac:dyDescent="0.25">
      <c r="G63" s="69"/>
      <c r="H63" s="1"/>
    </row>
    <row r="64" spans="7:8" x14ac:dyDescent="0.25">
      <c r="G64" s="69"/>
      <c r="H64" s="1"/>
    </row>
    <row r="65" spans="7:8" x14ac:dyDescent="0.25">
      <c r="G65" s="69"/>
      <c r="H65" s="1"/>
    </row>
    <row r="66" spans="7:8" x14ac:dyDescent="0.25">
      <c r="G66" s="69"/>
      <c r="H66" s="1"/>
    </row>
    <row r="67" spans="7:8" x14ac:dyDescent="0.25">
      <c r="G67" s="69"/>
      <c r="H67" s="1"/>
    </row>
    <row r="68" spans="7:8" x14ac:dyDescent="0.25">
      <c r="G68" s="69"/>
      <c r="H68" s="1"/>
    </row>
    <row r="69" spans="7:8" x14ac:dyDescent="0.25">
      <c r="G69" s="69"/>
      <c r="H69" s="1"/>
    </row>
    <row r="70" spans="7:8" x14ac:dyDescent="0.25">
      <c r="G70" s="69"/>
      <c r="H70" s="1"/>
    </row>
    <row r="71" spans="7:8" x14ac:dyDescent="0.25">
      <c r="G71" s="69"/>
      <c r="H71" s="1"/>
    </row>
    <row r="72" spans="7:8" x14ac:dyDescent="0.25">
      <c r="G72" s="69"/>
      <c r="H72" s="1"/>
    </row>
    <row r="73" spans="7:8" x14ac:dyDescent="0.25">
      <c r="G73" s="69"/>
      <c r="H73" s="1"/>
    </row>
    <row r="74" spans="7:8" x14ac:dyDescent="0.25">
      <c r="G74" s="69"/>
      <c r="H74" s="1"/>
    </row>
    <row r="75" spans="7:8" x14ac:dyDescent="0.25">
      <c r="G75" s="69"/>
      <c r="H75" s="1"/>
    </row>
    <row r="76" spans="7:8" x14ac:dyDescent="0.25">
      <c r="G76" s="69"/>
      <c r="H76" s="1"/>
    </row>
    <row r="77" spans="7:8" x14ac:dyDescent="0.25">
      <c r="G77" s="69"/>
      <c r="H77" s="1"/>
    </row>
    <row r="78" spans="7:8" x14ac:dyDescent="0.25">
      <c r="G78" s="69"/>
      <c r="H78" s="1"/>
    </row>
    <row r="79" spans="7:8" x14ac:dyDescent="0.25">
      <c r="G79" s="69"/>
      <c r="H79" s="1"/>
    </row>
    <row r="80" spans="7:8" x14ac:dyDescent="0.25">
      <c r="G80" s="69"/>
      <c r="H80" s="1"/>
    </row>
    <row r="81" spans="7:8" x14ac:dyDescent="0.25">
      <c r="G81" s="69"/>
      <c r="H81" s="1"/>
    </row>
    <row r="82" spans="7:8" x14ac:dyDescent="0.25">
      <c r="G82" s="69"/>
      <c r="H82" s="1"/>
    </row>
    <row r="83" spans="7:8" x14ac:dyDescent="0.25">
      <c r="G83" s="69"/>
      <c r="H83" s="1"/>
    </row>
    <row r="84" spans="7:8" x14ac:dyDescent="0.25">
      <c r="G84" s="69"/>
      <c r="H84" s="1"/>
    </row>
    <row r="85" spans="7:8" x14ac:dyDescent="0.25">
      <c r="G85" s="69"/>
      <c r="H85" s="1"/>
    </row>
    <row r="86" spans="7:8" x14ac:dyDescent="0.25">
      <c r="G86" s="69"/>
      <c r="H86" s="1"/>
    </row>
    <row r="87" spans="7:8" x14ac:dyDescent="0.25">
      <c r="G87" s="69"/>
      <c r="H87" s="1"/>
    </row>
    <row r="88" spans="7:8" x14ac:dyDescent="0.25">
      <c r="G88" s="69"/>
      <c r="H88" s="1"/>
    </row>
    <row r="89" spans="7:8" x14ac:dyDescent="0.25">
      <c r="G89" s="69"/>
      <c r="H89" s="1"/>
    </row>
    <row r="90" spans="7:8" x14ac:dyDescent="0.25">
      <c r="G90" s="69"/>
      <c r="H90" s="1"/>
    </row>
    <row r="91" spans="7:8" x14ac:dyDescent="0.25">
      <c r="G91" s="69"/>
      <c r="H91" s="1"/>
    </row>
    <row r="92" spans="7:8" x14ac:dyDescent="0.25">
      <c r="G92" s="69"/>
      <c r="H92" s="1"/>
    </row>
    <row r="93" spans="7:8" x14ac:dyDescent="0.25">
      <c r="G93" s="69"/>
      <c r="H93" s="1"/>
    </row>
    <row r="94" spans="7:8" x14ac:dyDescent="0.25">
      <c r="G94" s="69"/>
      <c r="H94" s="1"/>
    </row>
    <row r="95" spans="7:8" x14ac:dyDescent="0.25">
      <c r="G95" s="69"/>
      <c r="H95" s="1"/>
    </row>
    <row r="96" spans="7:8" x14ac:dyDescent="0.25">
      <c r="G96" s="69"/>
      <c r="H96" s="1"/>
    </row>
    <row r="97" spans="7:8" x14ac:dyDescent="0.25">
      <c r="G97" s="69"/>
      <c r="H97" s="1"/>
    </row>
    <row r="98" spans="7:8" x14ac:dyDescent="0.25">
      <c r="G98" s="69"/>
      <c r="H98" s="1"/>
    </row>
    <row r="99" spans="7:8" x14ac:dyDescent="0.25">
      <c r="G99" s="69"/>
      <c r="H99" s="1"/>
    </row>
    <row r="100" spans="7:8" x14ac:dyDescent="0.25">
      <c r="G100" s="69"/>
      <c r="H100" s="1"/>
    </row>
    <row r="101" spans="7:8" x14ac:dyDescent="0.25">
      <c r="G101" s="69"/>
      <c r="H101" s="1"/>
    </row>
    <row r="102" spans="7:8" x14ac:dyDescent="0.25">
      <c r="G102" s="69"/>
      <c r="H102" s="1"/>
    </row>
    <row r="103" spans="7:8" x14ac:dyDescent="0.25">
      <c r="G103" s="69"/>
      <c r="H103" s="1"/>
    </row>
    <row r="104" spans="7:8" x14ac:dyDescent="0.25">
      <c r="G104" s="69"/>
      <c r="H104" s="1"/>
    </row>
    <row r="105" spans="7:8" x14ac:dyDescent="0.25">
      <c r="G105" s="69"/>
      <c r="H105" s="1"/>
    </row>
    <row r="106" spans="7:8" x14ac:dyDescent="0.25">
      <c r="G106" s="69"/>
      <c r="H106" s="1"/>
    </row>
    <row r="107" spans="7:8" x14ac:dyDescent="0.25">
      <c r="G107" s="69"/>
      <c r="H107" s="1"/>
    </row>
    <row r="108" spans="7:8" x14ac:dyDescent="0.25">
      <c r="G108" s="69"/>
      <c r="H108" s="1"/>
    </row>
    <row r="109" spans="7:8" x14ac:dyDescent="0.25">
      <c r="G109" s="69"/>
      <c r="H109" s="1"/>
    </row>
    <row r="110" spans="7:8" x14ac:dyDescent="0.25">
      <c r="G110" s="69"/>
      <c r="H110" s="1"/>
    </row>
    <row r="111" spans="7:8" x14ac:dyDescent="0.25">
      <c r="G111" s="69"/>
      <c r="H111" s="1"/>
    </row>
    <row r="112" spans="7:8" x14ac:dyDescent="0.25">
      <c r="G112" s="69"/>
      <c r="H112" s="1"/>
    </row>
    <row r="113" spans="7:8" x14ac:dyDescent="0.25">
      <c r="G113" s="69"/>
      <c r="H113" s="1"/>
    </row>
    <row r="114" spans="7:8" x14ac:dyDescent="0.25">
      <c r="G114" s="69"/>
      <c r="H114" s="1"/>
    </row>
    <row r="115" spans="7:8" x14ac:dyDescent="0.25">
      <c r="G115" s="69"/>
      <c r="H115" s="1"/>
    </row>
    <row r="116" spans="7:8" x14ac:dyDescent="0.25">
      <c r="G116" s="69"/>
      <c r="H116" s="1"/>
    </row>
    <row r="117" spans="7:8" x14ac:dyDescent="0.25">
      <c r="G117" s="69"/>
      <c r="H117" s="1"/>
    </row>
    <row r="118" spans="7:8" x14ac:dyDescent="0.25">
      <c r="G118" s="69"/>
      <c r="H118" s="1"/>
    </row>
    <row r="119" spans="7:8" x14ac:dyDescent="0.25">
      <c r="G119" s="69"/>
      <c r="H119" s="1"/>
    </row>
    <row r="120" spans="7:8" x14ac:dyDescent="0.25">
      <c r="G120" s="69"/>
      <c r="H120" s="1"/>
    </row>
    <row r="121" spans="7:8" x14ac:dyDescent="0.25">
      <c r="G121" s="69"/>
      <c r="H121" s="1"/>
    </row>
    <row r="122" spans="7:8" x14ac:dyDescent="0.25">
      <c r="G122" s="69"/>
      <c r="H122" s="1"/>
    </row>
    <row r="123" spans="7:8" x14ac:dyDescent="0.25">
      <c r="G123" s="69"/>
      <c r="H123" s="1"/>
    </row>
    <row r="124" spans="7:8" x14ac:dyDescent="0.25">
      <c r="G124" s="69"/>
      <c r="H124" s="1"/>
    </row>
    <row r="125" spans="7:8" x14ac:dyDescent="0.25">
      <c r="G125" s="69"/>
      <c r="H125" s="1"/>
    </row>
    <row r="126" spans="7:8" x14ac:dyDescent="0.25">
      <c r="G126" s="69"/>
      <c r="H126" s="1"/>
    </row>
    <row r="127" spans="7:8" x14ac:dyDescent="0.25">
      <c r="G127" s="69"/>
      <c r="H127" s="1"/>
    </row>
    <row r="128" spans="7:8" x14ac:dyDescent="0.25">
      <c r="G128" s="69"/>
      <c r="H128" s="1"/>
    </row>
    <row r="129" spans="7:8" x14ac:dyDescent="0.25">
      <c r="G129" s="69"/>
      <c r="H129" s="1"/>
    </row>
    <row r="130" spans="7:8" x14ac:dyDescent="0.25">
      <c r="G130" s="69"/>
      <c r="H130" s="1"/>
    </row>
    <row r="131" spans="7:8" x14ac:dyDescent="0.25">
      <c r="G131" s="69"/>
      <c r="H131" s="1"/>
    </row>
    <row r="132" spans="7:8" x14ac:dyDescent="0.25">
      <c r="G132" s="69"/>
      <c r="H132" s="1"/>
    </row>
    <row r="133" spans="7:8" x14ac:dyDescent="0.25">
      <c r="G133" s="69"/>
      <c r="H133" s="1"/>
    </row>
    <row r="134" spans="7:8" x14ac:dyDescent="0.25">
      <c r="G134" s="69"/>
      <c r="H134" s="1"/>
    </row>
    <row r="135" spans="7:8" x14ac:dyDescent="0.25">
      <c r="G135" s="69"/>
      <c r="H135" s="1"/>
    </row>
    <row r="136" spans="7:8" x14ac:dyDescent="0.25">
      <c r="G136" s="69"/>
      <c r="H136" s="1"/>
    </row>
    <row r="137" spans="7:8" x14ac:dyDescent="0.25">
      <c r="G137" s="69"/>
      <c r="H137" s="1"/>
    </row>
    <row r="138" spans="7:8" x14ac:dyDescent="0.25">
      <c r="G138" s="69"/>
      <c r="H138" s="1"/>
    </row>
    <row r="139" spans="7:8" x14ac:dyDescent="0.25">
      <c r="G139" s="69"/>
      <c r="H139" s="1"/>
    </row>
    <row r="140" spans="7:8" x14ac:dyDescent="0.25">
      <c r="G140" s="69"/>
      <c r="H140" s="1"/>
    </row>
    <row r="141" spans="7:8" x14ac:dyDescent="0.25">
      <c r="G141" s="69"/>
      <c r="H141" s="1"/>
    </row>
    <row r="142" spans="7:8" x14ac:dyDescent="0.25">
      <c r="G142" s="69"/>
      <c r="H142" s="1"/>
    </row>
    <row r="143" spans="7:8" x14ac:dyDescent="0.25">
      <c r="G143" s="69"/>
      <c r="H143" s="1"/>
    </row>
    <row r="144" spans="7:8" x14ac:dyDescent="0.25">
      <c r="G144" s="69"/>
      <c r="H144" s="1"/>
    </row>
    <row r="145" spans="7:8" x14ac:dyDescent="0.25">
      <c r="G145" s="69"/>
      <c r="H145" s="1"/>
    </row>
    <row r="146" spans="7:8" x14ac:dyDescent="0.25">
      <c r="G146" s="69"/>
      <c r="H146" s="1"/>
    </row>
    <row r="147" spans="7:8" x14ac:dyDescent="0.25">
      <c r="G147" s="69"/>
      <c r="H147" s="1"/>
    </row>
    <row r="148" spans="7:8" x14ac:dyDescent="0.25">
      <c r="G148" s="69"/>
      <c r="H148" s="1"/>
    </row>
    <row r="149" spans="7:8" x14ac:dyDescent="0.25">
      <c r="G149" s="69"/>
      <c r="H149" s="1"/>
    </row>
    <row r="150" spans="7:8" x14ac:dyDescent="0.25">
      <c r="G150" s="69"/>
      <c r="H150" s="1"/>
    </row>
    <row r="151" spans="7:8" x14ac:dyDescent="0.25">
      <c r="G151" s="69"/>
      <c r="H151" s="1"/>
    </row>
    <row r="152" spans="7:8" x14ac:dyDescent="0.25">
      <c r="G152" s="69"/>
      <c r="H152" s="1"/>
    </row>
    <row r="153" spans="7:8" x14ac:dyDescent="0.25">
      <c r="G153" s="69"/>
      <c r="H153" s="1"/>
    </row>
    <row r="154" spans="7:8" x14ac:dyDescent="0.25">
      <c r="G154" s="69"/>
      <c r="H154" s="1"/>
    </row>
    <row r="155" spans="7:8" x14ac:dyDescent="0.25">
      <c r="G155" s="69"/>
      <c r="H155" s="1"/>
    </row>
    <row r="156" spans="7:8" x14ac:dyDescent="0.25">
      <c r="G156" s="69"/>
      <c r="H156" s="1"/>
    </row>
    <row r="157" spans="7:8" x14ac:dyDescent="0.25">
      <c r="G157" s="69"/>
      <c r="H157" s="1"/>
    </row>
    <row r="158" spans="7:8" x14ac:dyDescent="0.25">
      <c r="G158" s="69"/>
      <c r="H158" s="1"/>
    </row>
    <row r="159" spans="7:8" x14ac:dyDescent="0.25">
      <c r="G159" s="69"/>
      <c r="H159" s="1"/>
    </row>
    <row r="160" spans="7:8" x14ac:dyDescent="0.25">
      <c r="G160" s="69"/>
      <c r="H160" s="1"/>
    </row>
    <row r="161" spans="7:8" x14ac:dyDescent="0.25">
      <c r="G161" s="69"/>
      <c r="H161" s="1"/>
    </row>
    <row r="162" spans="7:8" x14ac:dyDescent="0.25">
      <c r="G162" s="69"/>
      <c r="H162" s="1"/>
    </row>
    <row r="163" spans="7:8" x14ac:dyDescent="0.25">
      <c r="G163" s="69"/>
      <c r="H163" s="1"/>
    </row>
    <row r="164" spans="7:8" x14ac:dyDescent="0.25">
      <c r="G164" s="69"/>
      <c r="H164" s="1"/>
    </row>
    <row r="165" spans="7:8" x14ac:dyDescent="0.25">
      <c r="G165" s="69"/>
      <c r="H165" s="1"/>
    </row>
    <row r="166" spans="7:8" x14ac:dyDescent="0.25">
      <c r="G166" s="69"/>
      <c r="H166" s="1"/>
    </row>
    <row r="167" spans="7:8" x14ac:dyDescent="0.25">
      <c r="G167" s="69"/>
      <c r="H167" s="1"/>
    </row>
    <row r="168" spans="7:8" x14ac:dyDescent="0.25">
      <c r="G168" s="69"/>
      <c r="H168" s="1"/>
    </row>
    <row r="169" spans="7:8" x14ac:dyDescent="0.25">
      <c r="G169" s="69"/>
      <c r="H169" s="1"/>
    </row>
    <row r="170" spans="7:8" x14ac:dyDescent="0.25">
      <c r="G170" s="69"/>
      <c r="H170" s="1"/>
    </row>
    <row r="171" spans="7:8" x14ac:dyDescent="0.25">
      <c r="G171" s="69"/>
      <c r="H171" s="1"/>
    </row>
    <row r="172" spans="7:8" x14ac:dyDescent="0.25">
      <c r="G172" s="69"/>
      <c r="H172" s="1"/>
    </row>
    <row r="173" spans="7:8" x14ac:dyDescent="0.25">
      <c r="G173" s="69"/>
      <c r="H173" s="1"/>
    </row>
    <row r="174" spans="7:8" x14ac:dyDescent="0.25">
      <c r="G174" s="69"/>
      <c r="H174" s="1"/>
    </row>
    <row r="175" spans="7:8" x14ac:dyDescent="0.25">
      <c r="G175" s="69"/>
      <c r="H175" s="1"/>
    </row>
    <row r="176" spans="7:8" x14ac:dyDescent="0.25">
      <c r="G176" s="69"/>
      <c r="H176" s="1"/>
    </row>
    <row r="177" spans="7:8" x14ac:dyDescent="0.25">
      <c r="G177" s="69"/>
      <c r="H177" s="1"/>
    </row>
    <row r="178" spans="7:8" x14ac:dyDescent="0.25">
      <c r="G178" s="69"/>
      <c r="H178" s="1"/>
    </row>
    <row r="179" spans="7:8" x14ac:dyDescent="0.25">
      <c r="G179" s="69"/>
      <c r="H179" s="1"/>
    </row>
    <row r="180" spans="7:8" x14ac:dyDescent="0.25">
      <c r="G180" s="69"/>
      <c r="H180" s="1"/>
    </row>
    <row r="181" spans="7:8" x14ac:dyDescent="0.25">
      <c r="G181" s="69"/>
      <c r="H181" s="1"/>
    </row>
    <row r="182" spans="7:8" x14ac:dyDescent="0.25">
      <c r="G182" s="69"/>
      <c r="H182" s="1"/>
    </row>
    <row r="183" spans="7:8" x14ac:dyDescent="0.25">
      <c r="G183" s="69"/>
      <c r="H183" s="1"/>
    </row>
    <row r="184" spans="7:8" x14ac:dyDescent="0.25">
      <c r="G184" s="69"/>
      <c r="H184" s="1"/>
    </row>
    <row r="185" spans="7:8" x14ac:dyDescent="0.25">
      <c r="G185" s="69"/>
      <c r="H185" s="1"/>
    </row>
    <row r="186" spans="7:8" x14ac:dyDescent="0.25">
      <c r="G186" s="69"/>
      <c r="H186" s="1"/>
    </row>
    <row r="187" spans="7:8" x14ac:dyDescent="0.25">
      <c r="G187" s="69"/>
      <c r="H187" s="1"/>
    </row>
    <row r="188" spans="7:8" x14ac:dyDescent="0.25">
      <c r="G188" s="69"/>
      <c r="H188" s="1"/>
    </row>
    <row r="189" spans="7:8" x14ac:dyDescent="0.25">
      <c r="G189" s="69"/>
      <c r="H189" s="1"/>
    </row>
    <row r="190" spans="7:8" x14ac:dyDescent="0.25">
      <c r="G190" s="69"/>
      <c r="H190" s="1"/>
    </row>
    <row r="191" spans="7:8" x14ac:dyDescent="0.25">
      <c r="G191" s="69"/>
      <c r="H191" s="1"/>
    </row>
    <row r="192" spans="7:8" x14ac:dyDescent="0.25">
      <c r="G192" s="69"/>
      <c r="H192" s="1"/>
    </row>
    <row r="193" spans="7:8" x14ac:dyDescent="0.25">
      <c r="G193" s="69"/>
      <c r="H193" s="1"/>
    </row>
    <row r="194" spans="7:8" x14ac:dyDescent="0.25">
      <c r="G194" s="69"/>
      <c r="H194" s="1"/>
    </row>
    <row r="195" spans="7:8" x14ac:dyDescent="0.25">
      <c r="G195" s="69"/>
      <c r="H195" s="1"/>
    </row>
    <row r="196" spans="7:8" x14ac:dyDescent="0.25">
      <c r="G196" s="69"/>
      <c r="H196" s="1"/>
    </row>
    <row r="197" spans="7:8" x14ac:dyDescent="0.25">
      <c r="G197" s="69"/>
      <c r="H197" s="1"/>
    </row>
    <row r="198" spans="7:8" x14ac:dyDescent="0.25">
      <c r="G198" s="69"/>
      <c r="H198" s="1"/>
    </row>
    <row r="199" spans="7:8" x14ac:dyDescent="0.25">
      <c r="G199" s="69"/>
      <c r="H199" s="1"/>
    </row>
    <row r="200" spans="7:8" x14ac:dyDescent="0.25">
      <c r="G200" s="69"/>
      <c r="H200" s="1"/>
    </row>
    <row r="201" spans="7:8" x14ac:dyDescent="0.25">
      <c r="G201" s="69"/>
      <c r="H201" s="1"/>
    </row>
    <row r="202" spans="7:8" x14ac:dyDescent="0.25">
      <c r="G202" s="69"/>
      <c r="H202" s="1"/>
    </row>
    <row r="203" spans="7:8" x14ac:dyDescent="0.25">
      <c r="G203" s="69"/>
      <c r="H203" s="1"/>
    </row>
    <row r="204" spans="7:8" x14ac:dyDescent="0.25">
      <c r="G204" s="69"/>
      <c r="H204" s="1"/>
    </row>
    <row r="205" spans="7:8" x14ac:dyDescent="0.25">
      <c r="G205" s="69"/>
      <c r="H205" s="1"/>
    </row>
    <row r="206" spans="7:8" x14ac:dyDescent="0.25">
      <c r="G206" s="69"/>
      <c r="H206" s="1"/>
    </row>
    <row r="207" spans="7:8" x14ac:dyDescent="0.25">
      <c r="G207" s="69"/>
      <c r="H207" s="1"/>
    </row>
    <row r="208" spans="7:8" x14ac:dyDescent="0.25">
      <c r="G208" s="69"/>
      <c r="H208" s="1"/>
    </row>
    <row r="209" spans="7:8" x14ac:dyDescent="0.25">
      <c r="G209" s="69"/>
      <c r="H209" s="1"/>
    </row>
    <row r="210" spans="7:8" x14ac:dyDescent="0.25">
      <c r="G210" s="69"/>
      <c r="H210" s="1"/>
    </row>
    <row r="211" spans="7:8" x14ac:dyDescent="0.25">
      <c r="G211" s="69"/>
      <c r="H211" s="1"/>
    </row>
    <row r="212" spans="7:8" x14ac:dyDescent="0.25">
      <c r="G212" s="69"/>
      <c r="H212" s="1"/>
    </row>
    <row r="213" spans="7:8" x14ac:dyDescent="0.25">
      <c r="G213" s="69"/>
      <c r="H213" s="1"/>
    </row>
    <row r="214" spans="7:8" x14ac:dyDescent="0.25">
      <c r="G214" s="69"/>
      <c r="H214" s="1"/>
    </row>
    <row r="215" spans="7:8" x14ac:dyDescent="0.25">
      <c r="G215" s="69"/>
      <c r="H215" s="1"/>
    </row>
    <row r="216" spans="7:8" x14ac:dyDescent="0.25">
      <c r="G216" s="69"/>
      <c r="H216" s="1"/>
    </row>
    <row r="217" spans="7:8" x14ac:dyDescent="0.25">
      <c r="G217" s="69"/>
      <c r="H217" s="1"/>
    </row>
    <row r="218" spans="7:8" x14ac:dyDescent="0.25">
      <c r="G218" s="69"/>
      <c r="H218" s="1"/>
    </row>
    <row r="219" spans="7:8" x14ac:dyDescent="0.25">
      <c r="G219" s="69"/>
      <c r="H219" s="1"/>
    </row>
    <row r="220" spans="7:8" x14ac:dyDescent="0.25">
      <c r="G220" s="69"/>
      <c r="H220" s="1"/>
    </row>
    <row r="221" spans="7:8" x14ac:dyDescent="0.25">
      <c r="G221" s="69"/>
      <c r="H221" s="1"/>
    </row>
    <row r="222" spans="7:8" x14ac:dyDescent="0.25">
      <c r="G222" s="69"/>
      <c r="H222" s="1"/>
    </row>
    <row r="223" spans="7:8" x14ac:dyDescent="0.25">
      <c r="G223" s="69"/>
      <c r="H223" s="1"/>
    </row>
    <row r="224" spans="7:8" x14ac:dyDescent="0.25">
      <c r="G224" s="69"/>
      <c r="H224" s="1"/>
    </row>
    <row r="225" spans="7:8" x14ac:dyDescent="0.25">
      <c r="G225" s="69"/>
      <c r="H225" s="1"/>
    </row>
    <row r="226" spans="7:8" x14ac:dyDescent="0.25">
      <c r="G226" s="69"/>
      <c r="H226" s="1"/>
    </row>
    <row r="227" spans="7:8" x14ac:dyDescent="0.25">
      <c r="G227" s="69"/>
      <c r="H227" s="1"/>
    </row>
    <row r="228" spans="7:8" x14ac:dyDescent="0.25">
      <c r="G228" s="69"/>
      <c r="H228" s="1"/>
    </row>
    <row r="229" spans="7:8" x14ac:dyDescent="0.25">
      <c r="G229" s="69"/>
      <c r="H229" s="1"/>
    </row>
    <row r="230" spans="7:8" x14ac:dyDescent="0.25">
      <c r="G230" s="69"/>
      <c r="H230" s="1"/>
    </row>
    <row r="231" spans="7:8" x14ac:dyDescent="0.25">
      <c r="G231" s="69"/>
      <c r="H231" s="1"/>
    </row>
    <row r="232" spans="7:8" x14ac:dyDescent="0.25">
      <c r="G232" s="69"/>
      <c r="H232" s="1"/>
    </row>
    <row r="233" spans="7:8" x14ac:dyDescent="0.25">
      <c r="G233" s="69"/>
      <c r="H233" s="1"/>
    </row>
    <row r="234" spans="7:8" x14ac:dyDescent="0.25">
      <c r="G234" s="69"/>
      <c r="H234" s="1"/>
    </row>
    <row r="235" spans="7:8" x14ac:dyDescent="0.25">
      <c r="G235" s="69"/>
      <c r="H235" s="1"/>
    </row>
    <row r="236" spans="7:8" x14ac:dyDescent="0.25">
      <c r="G236" s="69"/>
      <c r="H236" s="1"/>
    </row>
    <row r="237" spans="7:8" x14ac:dyDescent="0.25">
      <c r="G237" s="69"/>
      <c r="H237" s="1"/>
    </row>
    <row r="238" spans="7:8" x14ac:dyDescent="0.25">
      <c r="G238" s="69"/>
      <c r="H238" s="1"/>
    </row>
    <row r="239" spans="7:8" x14ac:dyDescent="0.25">
      <c r="G239" s="69"/>
      <c r="H239" s="1"/>
    </row>
    <row r="240" spans="7:8" x14ac:dyDescent="0.25">
      <c r="G240" s="69"/>
      <c r="H240" s="1"/>
    </row>
    <row r="241" spans="7:8" x14ac:dyDescent="0.25">
      <c r="G241" s="69"/>
      <c r="H241" s="1"/>
    </row>
    <row r="242" spans="7:8" x14ac:dyDescent="0.25">
      <c r="G242" s="69"/>
      <c r="H242" s="1"/>
    </row>
    <row r="243" spans="7:8" x14ac:dyDescent="0.25">
      <c r="G243" s="69"/>
      <c r="H243" s="1"/>
    </row>
    <row r="244" spans="7:8" x14ac:dyDescent="0.25">
      <c r="G244" s="69"/>
      <c r="H244" s="1"/>
    </row>
    <row r="245" spans="7:8" x14ac:dyDescent="0.25">
      <c r="G245" s="69"/>
      <c r="H245" s="1"/>
    </row>
    <row r="246" spans="7:8" x14ac:dyDescent="0.25">
      <c r="G246" s="69"/>
      <c r="H246" s="1"/>
    </row>
    <row r="247" spans="7:8" x14ac:dyDescent="0.25">
      <c r="G247" s="69"/>
      <c r="H247" s="1"/>
    </row>
    <row r="248" spans="7:8" x14ac:dyDescent="0.25">
      <c r="G248" s="69"/>
      <c r="H248" s="1"/>
    </row>
    <row r="249" spans="7:8" x14ac:dyDescent="0.25">
      <c r="G249" s="69"/>
      <c r="H249" s="1"/>
    </row>
    <row r="250" spans="7:8" x14ac:dyDescent="0.25">
      <c r="G250" s="69"/>
      <c r="H250" s="1"/>
    </row>
    <row r="251" spans="7:8" x14ac:dyDescent="0.25">
      <c r="G251" s="69"/>
      <c r="H251" s="1"/>
    </row>
    <row r="252" spans="7:8" x14ac:dyDescent="0.25">
      <c r="G252" s="69"/>
      <c r="H252" s="1"/>
    </row>
    <row r="253" spans="7:8" x14ac:dyDescent="0.25">
      <c r="G253" s="69"/>
      <c r="H253" s="1"/>
    </row>
    <row r="254" spans="7:8" x14ac:dyDescent="0.25">
      <c r="G254" s="69"/>
      <c r="H254" s="1"/>
    </row>
    <row r="255" spans="7:8" x14ac:dyDescent="0.25">
      <c r="G255" s="69"/>
      <c r="H255" s="1"/>
    </row>
    <row r="256" spans="7:8" x14ac:dyDescent="0.25">
      <c r="G256" s="69"/>
      <c r="H256" s="1"/>
    </row>
    <row r="257" spans="7:8" x14ac:dyDescent="0.25">
      <c r="G257" s="69"/>
      <c r="H257" s="1"/>
    </row>
    <row r="258" spans="7:8" x14ac:dyDescent="0.25">
      <c r="G258" s="69"/>
      <c r="H258" s="1"/>
    </row>
    <row r="259" spans="7:8" x14ac:dyDescent="0.25">
      <c r="G259" s="69"/>
      <c r="H259" s="1"/>
    </row>
    <row r="260" spans="7:8" x14ac:dyDescent="0.25">
      <c r="G260" s="69"/>
      <c r="H260" s="1"/>
    </row>
    <row r="261" spans="7:8" x14ac:dyDescent="0.25">
      <c r="G261" s="69"/>
      <c r="H261" s="1"/>
    </row>
    <row r="262" spans="7:8" x14ac:dyDescent="0.25">
      <c r="G262" s="69"/>
      <c r="H262" s="1"/>
    </row>
    <row r="263" spans="7:8" x14ac:dyDescent="0.25">
      <c r="G263" s="69"/>
      <c r="H263" s="1"/>
    </row>
    <row r="264" spans="7:8" x14ac:dyDescent="0.25">
      <c r="G264" s="69"/>
      <c r="H264" s="1"/>
    </row>
    <row r="265" spans="7:8" x14ac:dyDescent="0.25">
      <c r="G265" s="69"/>
      <c r="H265" s="1"/>
    </row>
    <row r="266" spans="7:8" x14ac:dyDescent="0.25">
      <c r="G266" s="69"/>
      <c r="H266" s="1"/>
    </row>
    <row r="267" spans="7:8" x14ac:dyDescent="0.25">
      <c r="G267" s="69"/>
      <c r="H267" s="1"/>
    </row>
    <row r="268" spans="7:8" x14ac:dyDescent="0.25">
      <c r="G268" s="69"/>
      <c r="H268" s="1"/>
    </row>
    <row r="269" spans="7:8" x14ac:dyDescent="0.25">
      <c r="G269" s="69"/>
      <c r="H269" s="1"/>
    </row>
    <row r="270" spans="7:8" x14ac:dyDescent="0.25">
      <c r="G270" s="69"/>
      <c r="H270" s="1"/>
    </row>
    <row r="271" spans="7:8" x14ac:dyDescent="0.25">
      <c r="G271" s="69"/>
      <c r="H271" s="1"/>
    </row>
    <row r="272" spans="7:8" x14ac:dyDescent="0.25">
      <c r="G272" s="69"/>
      <c r="H272" s="1"/>
    </row>
    <row r="273" spans="7:8" x14ac:dyDescent="0.25">
      <c r="G273" s="69"/>
      <c r="H273" s="1"/>
    </row>
    <row r="274" spans="7:8" x14ac:dyDescent="0.25">
      <c r="G274" s="69"/>
      <c r="H274" s="1"/>
    </row>
    <row r="275" spans="7:8" x14ac:dyDescent="0.25">
      <c r="G275" s="69"/>
      <c r="H275" s="1"/>
    </row>
    <row r="276" spans="7:8" x14ac:dyDescent="0.25">
      <c r="G276" s="69"/>
      <c r="H276" s="1"/>
    </row>
    <row r="277" spans="7:8" x14ac:dyDescent="0.25">
      <c r="G277" s="69"/>
      <c r="H277" s="1"/>
    </row>
    <row r="278" spans="7:8" x14ac:dyDescent="0.25">
      <c r="G278" s="69"/>
      <c r="H278" s="1"/>
    </row>
    <row r="279" spans="7:8" x14ac:dyDescent="0.25">
      <c r="G279" s="69"/>
      <c r="H279" s="1"/>
    </row>
    <row r="280" spans="7:8" x14ac:dyDescent="0.25">
      <c r="G280" s="69"/>
      <c r="H280" s="1"/>
    </row>
    <row r="281" spans="7:8" x14ac:dyDescent="0.25">
      <c r="G281" s="69"/>
      <c r="H281" s="1"/>
    </row>
    <row r="282" spans="7:8" x14ac:dyDescent="0.25">
      <c r="G282" s="69"/>
      <c r="H282" s="1"/>
    </row>
    <row r="283" spans="7:8" x14ac:dyDescent="0.25">
      <c r="G283" s="69"/>
      <c r="H283" s="1"/>
    </row>
    <row r="284" spans="7:8" x14ac:dyDescent="0.25">
      <c r="G284" s="69"/>
      <c r="H284" s="1"/>
    </row>
    <row r="285" spans="7:8" x14ac:dyDescent="0.25">
      <c r="G285" s="69"/>
      <c r="H285" s="1"/>
    </row>
    <row r="286" spans="7:8" x14ac:dyDescent="0.25">
      <c r="G286" s="69"/>
      <c r="H286" s="1"/>
    </row>
    <row r="287" spans="7:8" x14ac:dyDescent="0.25">
      <c r="G287" s="69"/>
      <c r="H287" s="1"/>
    </row>
    <row r="288" spans="7:8" x14ac:dyDescent="0.25">
      <c r="G288" s="69"/>
      <c r="H288" s="1"/>
    </row>
    <row r="289" spans="7:8" x14ac:dyDescent="0.25">
      <c r="G289" s="69"/>
      <c r="H289" s="1"/>
    </row>
    <row r="290" spans="7:8" x14ac:dyDescent="0.25">
      <c r="G290" s="69"/>
      <c r="H290" s="1"/>
    </row>
    <row r="291" spans="7:8" x14ac:dyDescent="0.25">
      <c r="G291" s="69"/>
      <c r="H291" s="1"/>
    </row>
    <row r="292" spans="7:8" x14ac:dyDescent="0.25">
      <c r="G292" s="69"/>
      <c r="H292" s="1"/>
    </row>
    <row r="293" spans="7:8" x14ac:dyDescent="0.25">
      <c r="G293" s="69"/>
      <c r="H293" s="1"/>
    </row>
    <row r="294" spans="7:8" x14ac:dyDescent="0.25">
      <c r="G294" s="69"/>
      <c r="H294" s="1"/>
    </row>
    <row r="295" spans="7:8" x14ac:dyDescent="0.25">
      <c r="G295" s="69"/>
      <c r="H295" s="1"/>
    </row>
    <row r="296" spans="7:8" x14ac:dyDescent="0.25">
      <c r="G296" s="69"/>
      <c r="H296" s="1"/>
    </row>
    <row r="297" spans="7:8" x14ac:dyDescent="0.25">
      <c r="G297" s="69"/>
      <c r="H297" s="1"/>
    </row>
    <row r="298" spans="7:8" x14ac:dyDescent="0.25">
      <c r="G298" s="69"/>
      <c r="H298" s="1"/>
    </row>
    <row r="299" spans="7:8" x14ac:dyDescent="0.25">
      <c r="G299" s="69"/>
      <c r="H299" s="1"/>
    </row>
    <row r="300" spans="7:8" x14ac:dyDescent="0.25">
      <c r="G300" s="69"/>
      <c r="H300" s="1"/>
    </row>
    <row r="301" spans="7:8" x14ac:dyDescent="0.25">
      <c r="G301" s="69"/>
      <c r="H301" s="1"/>
    </row>
    <row r="302" spans="7:8" x14ac:dyDescent="0.25">
      <c r="G302" s="69"/>
      <c r="H302" s="1"/>
    </row>
    <row r="303" spans="7:8" x14ac:dyDescent="0.25">
      <c r="G303" s="69"/>
      <c r="H303" s="1"/>
    </row>
    <row r="304" spans="7:8" x14ac:dyDescent="0.25">
      <c r="G304" s="69"/>
      <c r="H304" s="1"/>
    </row>
    <row r="305" spans="7:8" x14ac:dyDescent="0.25">
      <c r="G305" s="69"/>
      <c r="H305" s="1"/>
    </row>
    <row r="306" spans="7:8" x14ac:dyDescent="0.25">
      <c r="G306" s="69"/>
      <c r="H306" s="1"/>
    </row>
    <row r="307" spans="7:8" x14ac:dyDescent="0.25">
      <c r="G307" s="69"/>
      <c r="H307" s="1"/>
    </row>
    <row r="308" spans="7:8" x14ac:dyDescent="0.25">
      <c r="G308" s="69"/>
      <c r="H308" s="1"/>
    </row>
    <row r="309" spans="7:8" x14ac:dyDescent="0.25">
      <c r="G309" s="69"/>
      <c r="H309" s="1"/>
    </row>
    <row r="310" spans="7:8" x14ac:dyDescent="0.25">
      <c r="G310" s="69"/>
      <c r="H310" s="1"/>
    </row>
    <row r="311" spans="7:8" x14ac:dyDescent="0.25">
      <c r="G311" s="69"/>
      <c r="H311" s="1"/>
    </row>
    <row r="312" spans="7:8" x14ac:dyDescent="0.25">
      <c r="G312" s="69"/>
      <c r="H312" s="1"/>
    </row>
    <row r="313" spans="7:8" x14ac:dyDescent="0.25">
      <c r="G313" s="69"/>
      <c r="H313" s="1"/>
    </row>
    <row r="314" spans="7:8" x14ac:dyDescent="0.25">
      <c r="G314" s="69"/>
      <c r="H314" s="1"/>
    </row>
    <row r="315" spans="7:8" x14ac:dyDescent="0.25">
      <c r="G315" s="69"/>
      <c r="H315" s="1"/>
    </row>
    <row r="316" spans="7:8" x14ac:dyDescent="0.25">
      <c r="G316" s="69"/>
      <c r="H316" s="1"/>
    </row>
    <row r="317" spans="7:8" x14ac:dyDescent="0.25">
      <c r="G317" s="69"/>
      <c r="H317" s="1"/>
    </row>
    <row r="318" spans="7:8" x14ac:dyDescent="0.25">
      <c r="G318" s="69"/>
      <c r="H318" s="1"/>
    </row>
    <row r="319" spans="7:8" x14ac:dyDescent="0.25">
      <c r="G319" s="69"/>
      <c r="H319" s="1"/>
    </row>
    <row r="320" spans="7:8" x14ac:dyDescent="0.25">
      <c r="G320" s="69"/>
      <c r="H320" s="1"/>
    </row>
    <row r="321" spans="7:8" x14ac:dyDescent="0.25">
      <c r="G321" s="69"/>
      <c r="H321" s="1"/>
    </row>
    <row r="322" spans="7:8" x14ac:dyDescent="0.25">
      <c r="G322" s="69"/>
      <c r="H322" s="1"/>
    </row>
    <row r="323" spans="7:8" x14ac:dyDescent="0.25">
      <c r="G323" s="69"/>
      <c r="H323" s="1"/>
    </row>
    <row r="324" spans="7:8" x14ac:dyDescent="0.25">
      <c r="G324" s="69"/>
      <c r="H324" s="1"/>
    </row>
    <row r="325" spans="7:8" x14ac:dyDescent="0.25">
      <c r="G325" s="69"/>
      <c r="H325" s="1"/>
    </row>
    <row r="326" spans="7:8" x14ac:dyDescent="0.25">
      <c r="G326" s="69"/>
      <c r="H326" s="1"/>
    </row>
    <row r="327" spans="7:8" x14ac:dyDescent="0.25">
      <c r="G327" s="69"/>
      <c r="H327" s="1"/>
    </row>
    <row r="328" spans="7:8" x14ac:dyDescent="0.25">
      <c r="G328" s="69"/>
      <c r="H328" s="1"/>
    </row>
    <row r="329" spans="7:8" x14ac:dyDescent="0.25">
      <c r="G329" s="69"/>
      <c r="H329" s="1"/>
    </row>
    <row r="330" spans="7:8" x14ac:dyDescent="0.25">
      <c r="G330" s="69"/>
      <c r="H330" s="1"/>
    </row>
    <row r="331" spans="7:8" x14ac:dyDescent="0.25">
      <c r="G331" s="69"/>
      <c r="H331" s="1"/>
    </row>
    <row r="332" spans="7:8" x14ac:dyDescent="0.25">
      <c r="G332" s="69"/>
      <c r="H332" s="1"/>
    </row>
    <row r="333" spans="7:8" x14ac:dyDescent="0.25">
      <c r="G333" s="69"/>
      <c r="H333" s="1"/>
    </row>
    <row r="334" spans="7:8" x14ac:dyDescent="0.25">
      <c r="G334" s="69"/>
      <c r="H334" s="1"/>
    </row>
    <row r="335" spans="7:8" x14ac:dyDescent="0.25">
      <c r="G335" s="69"/>
      <c r="H335" s="1"/>
    </row>
    <row r="336" spans="7:8" x14ac:dyDescent="0.25">
      <c r="G336" s="69"/>
      <c r="H336" s="1"/>
    </row>
    <row r="337" spans="7:8" x14ac:dyDescent="0.25">
      <c r="G337" s="69"/>
      <c r="H337" s="1"/>
    </row>
    <row r="338" spans="7:8" x14ac:dyDescent="0.25">
      <c r="G338" s="69"/>
      <c r="H338" s="1"/>
    </row>
    <row r="339" spans="7:8" x14ac:dyDescent="0.25">
      <c r="G339" s="69"/>
      <c r="H339" s="1"/>
    </row>
    <row r="340" spans="7:8" x14ac:dyDescent="0.25">
      <c r="G340" s="69"/>
      <c r="H340" s="1"/>
    </row>
    <row r="341" spans="7:8" x14ac:dyDescent="0.25">
      <c r="G341" s="69"/>
      <c r="H341" s="1"/>
    </row>
    <row r="342" spans="7:8" x14ac:dyDescent="0.25">
      <c r="G342" s="69"/>
      <c r="H342" s="1"/>
    </row>
    <row r="343" spans="7:8" x14ac:dyDescent="0.25">
      <c r="G343" s="69"/>
      <c r="H343" s="1"/>
    </row>
    <row r="344" spans="7:8" x14ac:dyDescent="0.25">
      <c r="G344" s="69"/>
      <c r="H344" s="1"/>
    </row>
    <row r="345" spans="7:8" x14ac:dyDescent="0.25">
      <c r="G345" s="69"/>
      <c r="H345" s="1"/>
    </row>
    <row r="346" spans="7:8" x14ac:dyDescent="0.25">
      <c r="G346" s="69"/>
      <c r="H346" s="1"/>
    </row>
    <row r="347" spans="7:8" x14ac:dyDescent="0.25">
      <c r="G347" s="69"/>
      <c r="H347" s="1"/>
    </row>
    <row r="348" spans="7:8" x14ac:dyDescent="0.25">
      <c r="G348" s="69"/>
      <c r="H348" s="1"/>
    </row>
    <row r="349" spans="7:8" x14ac:dyDescent="0.25">
      <c r="G349" s="69"/>
      <c r="H349" s="1"/>
    </row>
    <row r="350" spans="7:8" x14ac:dyDescent="0.25">
      <c r="G350" s="69"/>
      <c r="H350" s="1"/>
    </row>
    <row r="351" spans="7:8" x14ac:dyDescent="0.25">
      <c r="G351" s="69"/>
      <c r="H351" s="1"/>
    </row>
    <row r="352" spans="7:8" x14ac:dyDescent="0.25">
      <c r="G352" s="69"/>
      <c r="H352" s="1"/>
    </row>
    <row r="353" spans="7:8" x14ac:dyDescent="0.25">
      <c r="G353" s="69"/>
      <c r="H353" s="1"/>
    </row>
    <row r="354" spans="7:8" x14ac:dyDescent="0.25">
      <c r="G354" s="69"/>
      <c r="H354" s="1"/>
    </row>
    <row r="355" spans="7:8" x14ac:dyDescent="0.25">
      <c r="G355" s="69"/>
      <c r="H355" s="1"/>
    </row>
    <row r="356" spans="7:8" x14ac:dyDescent="0.25">
      <c r="G356" s="69"/>
      <c r="H356" s="1"/>
    </row>
    <row r="357" spans="7:8" x14ac:dyDescent="0.25">
      <c r="G357" s="69"/>
      <c r="H357" s="1"/>
    </row>
    <row r="358" spans="7:8" x14ac:dyDescent="0.25">
      <c r="G358" s="69"/>
      <c r="H358" s="1"/>
    </row>
    <row r="359" spans="7:8" x14ac:dyDescent="0.25">
      <c r="G359" s="69"/>
      <c r="H359" s="1"/>
    </row>
    <row r="360" spans="7:8" x14ac:dyDescent="0.25">
      <c r="G360" s="69"/>
      <c r="H360" s="1"/>
    </row>
    <row r="361" spans="7:8" x14ac:dyDescent="0.25">
      <c r="G361" s="69"/>
      <c r="H361" s="1"/>
    </row>
    <row r="362" spans="7:8" x14ac:dyDescent="0.25">
      <c r="G362" s="69"/>
      <c r="H362" s="1"/>
    </row>
    <row r="363" spans="7:8" x14ac:dyDescent="0.25">
      <c r="G363" s="69"/>
      <c r="H363" s="1"/>
    </row>
    <row r="364" spans="7:8" x14ac:dyDescent="0.25">
      <c r="G364" s="69"/>
      <c r="H364" s="1"/>
    </row>
    <row r="365" spans="7:8" x14ac:dyDescent="0.25">
      <c r="G365" s="69"/>
      <c r="H365" s="1"/>
    </row>
    <row r="366" spans="7:8" x14ac:dyDescent="0.25">
      <c r="G366" s="69"/>
      <c r="H366" s="1"/>
    </row>
    <row r="367" spans="7:8" x14ac:dyDescent="0.25">
      <c r="G367" s="69"/>
      <c r="H367" s="1"/>
    </row>
    <row r="368" spans="7:8" x14ac:dyDescent="0.25">
      <c r="G368" s="69"/>
      <c r="H368" s="1"/>
    </row>
    <row r="369" spans="7:8" x14ac:dyDescent="0.25">
      <c r="G369" s="69"/>
      <c r="H369" s="1"/>
    </row>
    <row r="370" spans="7:8" x14ac:dyDescent="0.25">
      <c r="G370" s="69"/>
      <c r="H370" s="1"/>
    </row>
    <row r="371" spans="7:8" x14ac:dyDescent="0.25">
      <c r="G371" s="69"/>
      <c r="H371" s="1"/>
    </row>
    <row r="372" spans="7:8" x14ac:dyDescent="0.25">
      <c r="G372" s="69"/>
      <c r="H372" s="1"/>
    </row>
    <row r="373" spans="7:8" x14ac:dyDescent="0.25">
      <c r="G373" s="69"/>
      <c r="H373" s="1"/>
    </row>
    <row r="374" spans="7:8" x14ac:dyDescent="0.25">
      <c r="G374" s="69"/>
      <c r="H374" s="1"/>
    </row>
    <row r="375" spans="7:8" x14ac:dyDescent="0.25">
      <c r="G375" s="69"/>
      <c r="H375" s="1"/>
    </row>
    <row r="376" spans="7:8" x14ac:dyDescent="0.25">
      <c r="G376" s="69"/>
      <c r="H376" s="1"/>
    </row>
    <row r="377" spans="7:8" x14ac:dyDescent="0.25">
      <c r="G377" s="69"/>
      <c r="H377" s="1"/>
    </row>
    <row r="378" spans="7:8" x14ac:dyDescent="0.25">
      <c r="G378" s="69"/>
      <c r="H378" s="1"/>
    </row>
    <row r="379" spans="7:8" x14ac:dyDescent="0.25">
      <c r="G379" s="69"/>
      <c r="H379" s="1"/>
    </row>
    <row r="380" spans="7:8" x14ac:dyDescent="0.25">
      <c r="G380" s="69"/>
      <c r="H380" s="1"/>
    </row>
    <row r="381" spans="7:8" x14ac:dyDescent="0.25">
      <c r="G381" s="69"/>
      <c r="H381" s="1"/>
    </row>
    <row r="382" spans="7:8" x14ac:dyDescent="0.25">
      <c r="G382" s="69"/>
      <c r="H382" s="1"/>
    </row>
    <row r="383" spans="7:8" x14ac:dyDescent="0.25">
      <c r="G383" s="69"/>
      <c r="H383" s="1"/>
    </row>
    <row r="384" spans="7:8" x14ac:dyDescent="0.25">
      <c r="G384" s="69"/>
      <c r="H384" s="1"/>
    </row>
    <row r="385" spans="7:8" x14ac:dyDescent="0.25">
      <c r="G385" s="69"/>
      <c r="H385" s="1"/>
    </row>
    <row r="386" spans="7:8" x14ac:dyDescent="0.25">
      <c r="G386" s="69"/>
      <c r="H386" s="1"/>
    </row>
    <row r="387" spans="7:8" x14ac:dyDescent="0.25">
      <c r="G387" s="69"/>
      <c r="H387" s="1"/>
    </row>
    <row r="388" spans="7:8" x14ac:dyDescent="0.25">
      <c r="G388" s="69"/>
      <c r="H388" s="1"/>
    </row>
    <row r="389" spans="7:8" x14ac:dyDescent="0.25">
      <c r="G389" s="69"/>
      <c r="H389" s="1"/>
    </row>
    <row r="390" spans="7:8" x14ac:dyDescent="0.25">
      <c r="G390" s="69"/>
      <c r="H390" s="1"/>
    </row>
    <row r="391" spans="7:8" x14ac:dyDescent="0.25">
      <c r="G391" s="69"/>
      <c r="H391" s="1"/>
    </row>
    <row r="392" spans="7:8" x14ac:dyDescent="0.25">
      <c r="G392" s="69"/>
      <c r="H392" s="1"/>
    </row>
    <row r="393" spans="7:8" x14ac:dyDescent="0.25">
      <c r="G393" s="69"/>
      <c r="H393" s="1"/>
    </row>
    <row r="394" spans="7:8" x14ac:dyDescent="0.25">
      <c r="G394" s="69"/>
      <c r="H394" s="1"/>
    </row>
    <row r="395" spans="7:8" x14ac:dyDescent="0.25">
      <c r="G395" s="69"/>
      <c r="H395" s="1"/>
    </row>
    <row r="396" spans="7:8" x14ac:dyDescent="0.25">
      <c r="G396" s="69"/>
      <c r="H396" s="1"/>
    </row>
    <row r="397" spans="7:8" x14ac:dyDescent="0.25">
      <c r="G397" s="69"/>
      <c r="H397" s="1"/>
    </row>
    <row r="398" spans="7:8" x14ac:dyDescent="0.25">
      <c r="G398" s="69"/>
      <c r="H398" s="1"/>
    </row>
    <row r="399" spans="7:8" x14ac:dyDescent="0.25">
      <c r="G399" s="69"/>
      <c r="H399" s="1"/>
    </row>
    <row r="400" spans="7:8" x14ac:dyDescent="0.25">
      <c r="G400" s="69"/>
      <c r="H400" s="1"/>
    </row>
    <row r="401" spans="7:8" x14ac:dyDescent="0.25">
      <c r="G401" s="69"/>
      <c r="H401" s="1"/>
    </row>
    <row r="402" spans="7:8" x14ac:dyDescent="0.25">
      <c r="G402" s="69"/>
      <c r="H402" s="1"/>
    </row>
    <row r="403" spans="7:8" x14ac:dyDescent="0.25">
      <c r="G403" s="69"/>
      <c r="H403" s="1"/>
    </row>
    <row r="404" spans="7:8" x14ac:dyDescent="0.25">
      <c r="G404" s="69"/>
      <c r="H404" s="1"/>
    </row>
    <row r="405" spans="7:8" x14ac:dyDescent="0.25">
      <c r="G405" s="69"/>
      <c r="H405" s="1"/>
    </row>
    <row r="406" spans="7:8" x14ac:dyDescent="0.25">
      <c r="G406" s="69"/>
      <c r="H406" s="1"/>
    </row>
    <row r="407" spans="7:8" x14ac:dyDescent="0.25">
      <c r="G407" s="69"/>
      <c r="H407" s="1"/>
    </row>
    <row r="408" spans="7:8" x14ac:dyDescent="0.25">
      <c r="G408" s="69"/>
      <c r="H408" s="1"/>
    </row>
    <row r="409" spans="7:8" x14ac:dyDescent="0.25">
      <c r="G409" s="69"/>
      <c r="H409" s="1"/>
    </row>
    <row r="410" spans="7:8" x14ac:dyDescent="0.25">
      <c r="G410" s="69"/>
      <c r="H410" s="1"/>
    </row>
    <row r="411" spans="7:8" x14ac:dyDescent="0.25">
      <c r="G411" s="69"/>
      <c r="H411" s="1"/>
    </row>
    <row r="412" spans="7:8" x14ac:dyDescent="0.25">
      <c r="G412" s="69"/>
      <c r="H412" s="1"/>
    </row>
    <row r="413" spans="7:8" x14ac:dyDescent="0.25">
      <c r="G413" s="69"/>
      <c r="H413" s="1"/>
    </row>
    <row r="414" spans="7:8" x14ac:dyDescent="0.25">
      <c r="G414" s="69"/>
      <c r="H414" s="1"/>
    </row>
    <row r="415" spans="7:8" x14ac:dyDescent="0.25">
      <c r="G415" s="69"/>
      <c r="H415" s="1"/>
    </row>
    <row r="416" spans="7:8" x14ac:dyDescent="0.25">
      <c r="G416" s="69"/>
      <c r="H416" s="1"/>
    </row>
    <row r="417" spans="7:8" x14ac:dyDescent="0.25">
      <c r="G417" s="69"/>
      <c r="H417" s="1"/>
    </row>
    <row r="418" spans="7:8" x14ac:dyDescent="0.25">
      <c r="G418" s="69"/>
      <c r="H418" s="1"/>
    </row>
    <row r="419" spans="7:8" x14ac:dyDescent="0.25">
      <c r="G419" s="69"/>
      <c r="H419" s="1"/>
    </row>
    <row r="420" spans="7:8" x14ac:dyDescent="0.25">
      <c r="G420" s="69"/>
      <c r="H420" s="1"/>
    </row>
    <row r="421" spans="7:8" x14ac:dyDescent="0.25">
      <c r="G421" s="69"/>
      <c r="H421" s="1"/>
    </row>
    <row r="422" spans="7:8" x14ac:dyDescent="0.25">
      <c r="G422" s="69"/>
      <c r="H422" s="1"/>
    </row>
    <row r="423" spans="7:8" x14ac:dyDescent="0.25">
      <c r="G423" s="69"/>
      <c r="H423" s="1"/>
    </row>
    <row r="424" spans="7:8" x14ac:dyDescent="0.25">
      <c r="G424" s="69"/>
      <c r="H424" s="1"/>
    </row>
    <row r="425" spans="7:8" x14ac:dyDescent="0.25">
      <c r="G425" s="69"/>
      <c r="H425" s="1"/>
    </row>
    <row r="426" spans="7:8" x14ac:dyDescent="0.25">
      <c r="G426" s="69"/>
      <c r="H426" s="1"/>
    </row>
    <row r="427" spans="7:8" x14ac:dyDescent="0.25">
      <c r="G427" s="69"/>
      <c r="H427" s="1"/>
    </row>
    <row r="428" spans="7:8" x14ac:dyDescent="0.25">
      <c r="G428" s="69"/>
      <c r="H428" s="1"/>
    </row>
    <row r="429" spans="7:8" x14ac:dyDescent="0.25">
      <c r="G429" s="69"/>
      <c r="H429" s="1"/>
    </row>
    <row r="430" spans="7:8" x14ac:dyDescent="0.25">
      <c r="G430" s="69"/>
      <c r="H430" s="1"/>
    </row>
    <row r="431" spans="7:8" x14ac:dyDescent="0.25">
      <c r="G431" s="69"/>
      <c r="H431" s="1"/>
    </row>
    <row r="432" spans="7:8" x14ac:dyDescent="0.25">
      <c r="G432" s="69"/>
      <c r="H432" s="1"/>
    </row>
    <row r="433" spans="7:8" x14ac:dyDescent="0.25">
      <c r="G433" s="69"/>
      <c r="H433" s="1"/>
    </row>
    <row r="434" spans="7:8" x14ac:dyDescent="0.25">
      <c r="G434" s="69"/>
      <c r="H434" s="1"/>
    </row>
    <row r="435" spans="7:8" x14ac:dyDescent="0.25">
      <c r="G435" s="69"/>
      <c r="H435" s="1"/>
    </row>
    <row r="436" spans="7:8" x14ac:dyDescent="0.25">
      <c r="G436" s="69"/>
      <c r="H436" s="1"/>
    </row>
    <row r="437" spans="7:8" x14ac:dyDescent="0.25">
      <c r="G437" s="69"/>
      <c r="H437" s="1"/>
    </row>
    <row r="438" spans="7:8" x14ac:dyDescent="0.25">
      <c r="G438" s="69"/>
      <c r="H438" s="1"/>
    </row>
    <row r="439" spans="7:8" x14ac:dyDescent="0.25">
      <c r="G439" s="69"/>
      <c r="H439" s="1"/>
    </row>
    <row r="440" spans="7:8" x14ac:dyDescent="0.25">
      <c r="G440" s="69"/>
      <c r="H440" s="1"/>
    </row>
    <row r="441" spans="7:8" x14ac:dyDescent="0.25">
      <c r="G441" s="69"/>
      <c r="H441" s="1"/>
    </row>
    <row r="442" spans="7:8" x14ac:dyDescent="0.25">
      <c r="G442" s="69"/>
      <c r="H442" s="1"/>
    </row>
    <row r="443" spans="7:8" x14ac:dyDescent="0.25">
      <c r="G443" s="69"/>
      <c r="H443" s="1"/>
    </row>
    <row r="444" spans="7:8" x14ac:dyDescent="0.25">
      <c r="G444" s="69"/>
      <c r="H444" s="1"/>
    </row>
    <row r="445" spans="7:8" x14ac:dyDescent="0.25">
      <c r="G445" s="69"/>
      <c r="H445" s="1"/>
    </row>
    <row r="446" spans="7:8" x14ac:dyDescent="0.25">
      <c r="G446" s="69"/>
      <c r="H446" s="1"/>
    </row>
    <row r="447" spans="7:8" x14ac:dyDescent="0.25">
      <c r="G447" s="69"/>
      <c r="H447" s="1"/>
    </row>
    <row r="448" spans="7:8" x14ac:dyDescent="0.25">
      <c r="G448" s="69"/>
      <c r="H448" s="1"/>
    </row>
    <row r="449" spans="7:8" x14ac:dyDescent="0.25">
      <c r="G449" s="69"/>
      <c r="H449" s="1"/>
    </row>
    <row r="450" spans="7:8" x14ac:dyDescent="0.25">
      <c r="G450" s="69"/>
      <c r="H450" s="1"/>
    </row>
    <row r="451" spans="7:8" x14ac:dyDescent="0.25">
      <c r="G451" s="69"/>
      <c r="H451" s="1"/>
    </row>
    <row r="452" spans="7:8" x14ac:dyDescent="0.25">
      <c r="G452" s="69"/>
      <c r="H452" s="1"/>
    </row>
    <row r="453" spans="7:8" x14ac:dyDescent="0.25">
      <c r="G453" s="69"/>
      <c r="H453" s="1"/>
    </row>
    <row r="454" spans="7:8" x14ac:dyDescent="0.25">
      <c r="G454" s="69"/>
      <c r="H454" s="1"/>
    </row>
    <row r="455" spans="7:8" x14ac:dyDescent="0.25">
      <c r="G455" s="69"/>
      <c r="H455" s="1"/>
    </row>
    <row r="456" spans="7:8" x14ac:dyDescent="0.25">
      <c r="G456" s="69"/>
      <c r="H456" s="1"/>
    </row>
    <row r="457" spans="7:8" x14ac:dyDescent="0.25">
      <c r="G457" s="69"/>
      <c r="H457" s="1"/>
    </row>
    <row r="458" spans="7:8" x14ac:dyDescent="0.25">
      <c r="G458" s="69"/>
      <c r="H458" s="1"/>
    </row>
    <row r="459" spans="7:8" x14ac:dyDescent="0.25">
      <c r="G459" s="69"/>
      <c r="H459" s="1"/>
    </row>
    <row r="460" spans="7:8" x14ac:dyDescent="0.25">
      <c r="G460" s="69"/>
      <c r="H460" s="1"/>
    </row>
    <row r="461" spans="7:8" x14ac:dyDescent="0.25">
      <c r="G461" s="69"/>
      <c r="H461" s="1"/>
    </row>
    <row r="462" spans="7:8" x14ac:dyDescent="0.25">
      <c r="G462" s="69"/>
      <c r="H462" s="1"/>
    </row>
    <row r="463" spans="7:8" x14ac:dyDescent="0.25">
      <c r="G463" s="69"/>
      <c r="H463" s="1"/>
    </row>
    <row r="464" spans="7:8" x14ac:dyDescent="0.25">
      <c r="G464" s="69"/>
      <c r="H464" s="1"/>
    </row>
    <row r="465" spans="7:8" x14ac:dyDescent="0.25">
      <c r="G465" s="69"/>
      <c r="H465" s="1"/>
    </row>
    <row r="466" spans="7:8" x14ac:dyDescent="0.25">
      <c r="G466" s="69"/>
      <c r="H466" s="1"/>
    </row>
    <row r="467" spans="7:8" x14ac:dyDescent="0.25">
      <c r="G467" s="69"/>
      <c r="H467" s="1"/>
    </row>
    <row r="468" spans="7:8" x14ac:dyDescent="0.25">
      <c r="G468" s="69"/>
      <c r="H468" s="1"/>
    </row>
    <row r="469" spans="7:8" x14ac:dyDescent="0.25">
      <c r="G469" s="69"/>
      <c r="H469" s="1"/>
    </row>
    <row r="470" spans="7:8" x14ac:dyDescent="0.25">
      <c r="G470" s="69"/>
      <c r="H470" s="1"/>
    </row>
    <row r="471" spans="7:8" x14ac:dyDescent="0.25">
      <c r="G471" s="69"/>
      <c r="H471" s="1"/>
    </row>
    <row r="472" spans="7:8" x14ac:dyDescent="0.25">
      <c r="G472" s="69"/>
      <c r="H472" s="1"/>
    </row>
    <row r="473" spans="7:8" x14ac:dyDescent="0.25">
      <c r="G473" s="69"/>
      <c r="H473" s="1"/>
    </row>
    <row r="474" spans="7:8" x14ac:dyDescent="0.25">
      <c r="G474" s="69"/>
      <c r="H474" s="1"/>
    </row>
    <row r="475" spans="7:8" x14ac:dyDescent="0.25">
      <c r="G475" s="69"/>
      <c r="H475" s="1"/>
    </row>
    <row r="476" spans="7:8" x14ac:dyDescent="0.25">
      <c r="G476" s="69"/>
      <c r="H476" s="1"/>
    </row>
    <row r="477" spans="7:8" x14ac:dyDescent="0.25">
      <c r="G477" s="69"/>
      <c r="H477" s="1"/>
    </row>
    <row r="478" spans="7:8" x14ac:dyDescent="0.25">
      <c r="G478" s="69"/>
      <c r="H478" s="1"/>
    </row>
    <row r="479" spans="7:8" x14ac:dyDescent="0.25">
      <c r="G479" s="69"/>
      <c r="H479" s="1"/>
    </row>
    <row r="480" spans="7:8" x14ac:dyDescent="0.25">
      <c r="G480" s="69"/>
      <c r="H480" s="1"/>
    </row>
    <row r="481" spans="7:8" x14ac:dyDescent="0.25">
      <c r="G481" s="69"/>
      <c r="H481" s="1"/>
    </row>
    <row r="482" spans="7:8" x14ac:dyDescent="0.25">
      <c r="G482" s="69"/>
      <c r="H482" s="1"/>
    </row>
    <row r="483" spans="7:8" x14ac:dyDescent="0.25">
      <c r="G483" s="69"/>
      <c r="H483" s="1"/>
    </row>
    <row r="484" spans="7:8" x14ac:dyDescent="0.25">
      <c r="G484" s="69"/>
      <c r="H484" s="1"/>
    </row>
    <row r="485" spans="7:8" x14ac:dyDescent="0.25">
      <c r="G485" s="69"/>
      <c r="H485" s="1"/>
    </row>
    <row r="486" spans="7:8" x14ac:dyDescent="0.25">
      <c r="G486" s="69"/>
      <c r="H486" s="1"/>
    </row>
    <row r="487" spans="7:8" x14ac:dyDescent="0.25">
      <c r="G487" s="69"/>
      <c r="H487" s="1"/>
    </row>
    <row r="488" spans="7:8" x14ac:dyDescent="0.25">
      <c r="G488" s="69"/>
      <c r="H488" s="1"/>
    </row>
    <row r="489" spans="7:8" x14ac:dyDescent="0.25">
      <c r="G489" s="69"/>
      <c r="H489" s="1"/>
    </row>
    <row r="490" spans="7:8" x14ac:dyDescent="0.25">
      <c r="G490" s="69"/>
      <c r="H490" s="1"/>
    </row>
    <row r="491" spans="7:8" x14ac:dyDescent="0.25">
      <c r="G491" s="69"/>
      <c r="H491" s="1"/>
    </row>
    <row r="492" spans="7:8" x14ac:dyDescent="0.25">
      <c r="G492" s="69"/>
      <c r="H492" s="1"/>
    </row>
    <row r="493" spans="7:8" x14ac:dyDescent="0.25">
      <c r="G493" s="69"/>
      <c r="H493" s="1"/>
    </row>
    <row r="494" spans="7:8" x14ac:dyDescent="0.25">
      <c r="G494" s="69"/>
      <c r="H494" s="1"/>
    </row>
    <row r="495" spans="7:8" x14ac:dyDescent="0.25">
      <c r="G495" s="69"/>
      <c r="H495" s="1"/>
    </row>
    <row r="496" spans="7:8" x14ac:dyDescent="0.25">
      <c r="G496" s="69"/>
      <c r="H496" s="1"/>
    </row>
    <row r="497" spans="7:8" x14ac:dyDescent="0.25">
      <c r="G497" s="69"/>
      <c r="H497" s="1"/>
    </row>
    <row r="498" spans="7:8" x14ac:dyDescent="0.25">
      <c r="G498" s="69"/>
      <c r="H498" s="1"/>
    </row>
    <row r="499" spans="7:8" x14ac:dyDescent="0.25">
      <c r="G499" s="69"/>
      <c r="H499" s="1"/>
    </row>
    <row r="500" spans="7:8" x14ac:dyDescent="0.25">
      <c r="G500" s="69"/>
      <c r="H500" s="1"/>
    </row>
    <row r="501" spans="7:8" x14ac:dyDescent="0.25">
      <c r="G501" s="69"/>
      <c r="H501" s="1"/>
    </row>
    <row r="502" spans="7:8" x14ac:dyDescent="0.25">
      <c r="G502" s="69"/>
      <c r="H502" s="1"/>
    </row>
    <row r="503" spans="7:8" x14ac:dyDescent="0.25">
      <c r="G503" s="69"/>
      <c r="H503" s="1"/>
    </row>
    <row r="504" spans="7:8" x14ac:dyDescent="0.25">
      <c r="G504" s="69"/>
      <c r="H504" s="1"/>
    </row>
    <row r="505" spans="7:8" x14ac:dyDescent="0.25">
      <c r="G505" s="69"/>
      <c r="H505" s="1"/>
    </row>
    <row r="506" spans="7:8" x14ac:dyDescent="0.25">
      <c r="G506" s="69"/>
      <c r="H506" s="1"/>
    </row>
    <row r="507" spans="7:8" x14ac:dyDescent="0.25">
      <c r="G507" s="69"/>
      <c r="H507" s="1"/>
    </row>
    <row r="508" spans="7:8" x14ac:dyDescent="0.25">
      <c r="G508" s="69"/>
      <c r="H508" s="1"/>
    </row>
    <row r="509" spans="7:8" x14ac:dyDescent="0.25">
      <c r="G509" s="69"/>
      <c r="H509" s="1"/>
    </row>
    <row r="510" spans="7:8" x14ac:dyDescent="0.25">
      <c r="G510" s="69"/>
      <c r="H510" s="1"/>
    </row>
    <row r="511" spans="7:8" x14ac:dyDescent="0.25">
      <c r="G511" s="69"/>
      <c r="H511" s="1"/>
    </row>
    <row r="512" spans="7:8" x14ac:dyDescent="0.25">
      <c r="G512" s="69"/>
      <c r="H512" s="1"/>
    </row>
    <row r="513" spans="7:8" x14ac:dyDescent="0.25">
      <c r="G513" s="69"/>
      <c r="H513" s="1"/>
    </row>
    <row r="514" spans="7:8" x14ac:dyDescent="0.25">
      <c r="G514" s="69"/>
      <c r="H514" s="1"/>
    </row>
    <row r="515" spans="7:8" x14ac:dyDescent="0.25">
      <c r="G515" s="69"/>
      <c r="H515" s="1"/>
    </row>
    <row r="516" spans="7:8" x14ac:dyDescent="0.25">
      <c r="G516" s="69"/>
      <c r="H516" s="1"/>
    </row>
    <row r="517" spans="7:8" x14ac:dyDescent="0.25">
      <c r="G517" s="69"/>
      <c r="H517" s="1"/>
    </row>
    <row r="518" spans="7:8" x14ac:dyDescent="0.25">
      <c r="G518" s="69"/>
      <c r="H518" s="1"/>
    </row>
    <row r="519" spans="7:8" x14ac:dyDescent="0.25">
      <c r="G519" s="69"/>
      <c r="H519" s="1"/>
    </row>
    <row r="520" spans="7:8" x14ac:dyDescent="0.25">
      <c r="G520" s="69"/>
      <c r="H520" s="1"/>
    </row>
    <row r="521" spans="7:8" x14ac:dyDescent="0.25">
      <c r="G521" s="69"/>
      <c r="H521" s="1"/>
    </row>
    <row r="522" spans="7:8" x14ac:dyDescent="0.25">
      <c r="G522" s="69"/>
      <c r="H522" s="1"/>
    </row>
    <row r="523" spans="7:8" x14ac:dyDescent="0.25">
      <c r="G523" s="69"/>
      <c r="H523" s="1"/>
    </row>
    <row r="524" spans="7:8" x14ac:dyDescent="0.25">
      <c r="G524" s="69"/>
      <c r="H524" s="1"/>
    </row>
    <row r="525" spans="7:8" x14ac:dyDescent="0.25">
      <c r="G525" s="69"/>
      <c r="H525" s="1"/>
    </row>
    <row r="526" spans="7:8" x14ac:dyDescent="0.25">
      <c r="G526" s="69"/>
      <c r="H526" s="1"/>
    </row>
    <row r="527" spans="7:8" x14ac:dyDescent="0.25">
      <c r="G527" s="69"/>
      <c r="H527" s="1"/>
    </row>
    <row r="528" spans="7:8" x14ac:dyDescent="0.25">
      <c r="G528" s="69"/>
      <c r="H528" s="1"/>
    </row>
    <row r="529" spans="7:8" x14ac:dyDescent="0.25">
      <c r="G529" s="69"/>
      <c r="H529" s="1"/>
    </row>
    <row r="530" spans="7:8" x14ac:dyDescent="0.25">
      <c r="G530" s="69"/>
      <c r="H530" s="1"/>
    </row>
    <row r="531" spans="7:8" x14ac:dyDescent="0.25">
      <c r="G531" s="69"/>
      <c r="H531" s="1"/>
    </row>
    <row r="532" spans="7:8" x14ac:dyDescent="0.25">
      <c r="G532" s="69"/>
      <c r="H532" s="1"/>
    </row>
    <row r="533" spans="7:8" x14ac:dyDescent="0.25">
      <c r="G533" s="69"/>
      <c r="H533" s="1"/>
    </row>
    <row r="534" spans="7:8" x14ac:dyDescent="0.25">
      <c r="G534" s="69"/>
      <c r="H534" s="1"/>
    </row>
    <row r="535" spans="7:8" x14ac:dyDescent="0.25">
      <c r="G535" s="69"/>
      <c r="H535" s="1"/>
    </row>
    <row r="536" spans="7:8" x14ac:dyDescent="0.25">
      <c r="G536" s="69"/>
      <c r="H536" s="1"/>
    </row>
    <row r="537" spans="7:8" x14ac:dyDescent="0.25">
      <c r="G537" s="69"/>
      <c r="H537" s="1"/>
    </row>
    <row r="538" spans="7:8" x14ac:dyDescent="0.25">
      <c r="G538" s="69"/>
      <c r="H538" s="1"/>
    </row>
    <row r="539" spans="7:8" x14ac:dyDescent="0.25">
      <c r="G539" s="69"/>
      <c r="H539" s="1"/>
    </row>
    <row r="540" spans="7:8" x14ac:dyDescent="0.25">
      <c r="G540" s="69"/>
      <c r="H540" s="1"/>
    </row>
    <row r="541" spans="7:8" x14ac:dyDescent="0.25">
      <c r="G541" s="69"/>
      <c r="H541" s="1"/>
    </row>
    <row r="542" spans="7:8" x14ac:dyDescent="0.25">
      <c r="G542" s="69"/>
      <c r="H542" s="1"/>
    </row>
    <row r="543" spans="7:8" x14ac:dyDescent="0.25">
      <c r="G543" s="69"/>
      <c r="H543" s="1"/>
    </row>
    <row r="544" spans="7:8" x14ac:dyDescent="0.25">
      <c r="G544" s="69"/>
      <c r="H544" s="1"/>
    </row>
    <row r="545" spans="7:8" x14ac:dyDescent="0.25">
      <c r="G545" s="69"/>
      <c r="H545" s="1"/>
    </row>
    <row r="546" spans="7:8" x14ac:dyDescent="0.25">
      <c r="G546" s="69"/>
      <c r="H546" s="1"/>
    </row>
    <row r="547" spans="7:8" x14ac:dyDescent="0.25">
      <c r="G547" s="69"/>
      <c r="H547" s="1"/>
    </row>
    <row r="548" spans="7:8" x14ac:dyDescent="0.25">
      <c r="G548" s="69"/>
      <c r="H548" s="1"/>
    </row>
    <row r="549" spans="7:8" x14ac:dyDescent="0.25">
      <c r="G549" s="69"/>
      <c r="H549" s="1"/>
    </row>
    <row r="550" spans="7:8" x14ac:dyDescent="0.25">
      <c r="G550" s="69"/>
      <c r="H550" s="1"/>
    </row>
    <row r="551" spans="7:8" x14ac:dyDescent="0.25">
      <c r="G551" s="69"/>
      <c r="H551" s="1"/>
    </row>
    <row r="552" spans="7:8" x14ac:dyDescent="0.25">
      <c r="G552" s="69"/>
      <c r="H552" s="1"/>
    </row>
    <row r="553" spans="7:8" x14ac:dyDescent="0.25">
      <c r="G553" s="69"/>
      <c r="H553" s="1"/>
    </row>
    <row r="554" spans="7:8" x14ac:dyDescent="0.25">
      <c r="G554" s="69"/>
      <c r="H554" s="1"/>
    </row>
    <row r="555" spans="7:8" x14ac:dyDescent="0.25">
      <c r="G555" s="69"/>
      <c r="H555" s="1"/>
    </row>
    <row r="556" spans="7:8" x14ac:dyDescent="0.25">
      <c r="G556" s="69"/>
      <c r="H556" s="1"/>
    </row>
    <row r="557" spans="7:8" x14ac:dyDescent="0.25">
      <c r="G557" s="69"/>
      <c r="H557" s="1"/>
    </row>
    <row r="558" spans="7:8" x14ac:dyDescent="0.25">
      <c r="G558" s="69"/>
      <c r="H558" s="1"/>
    </row>
    <row r="559" spans="7:8" x14ac:dyDescent="0.25">
      <c r="G559" s="69"/>
      <c r="H559" s="1"/>
    </row>
    <row r="560" spans="7:8" x14ac:dyDescent="0.25">
      <c r="G560" s="69"/>
      <c r="H560" s="1"/>
    </row>
    <row r="561" spans="7:8" x14ac:dyDescent="0.25">
      <c r="G561" s="69"/>
      <c r="H561" s="1"/>
    </row>
    <row r="562" spans="7:8" x14ac:dyDescent="0.25">
      <c r="G562" s="69"/>
      <c r="H562" s="1"/>
    </row>
    <row r="563" spans="7:8" x14ac:dyDescent="0.25">
      <c r="G563" s="69"/>
      <c r="H563" s="1"/>
    </row>
    <row r="564" spans="7:8" x14ac:dyDescent="0.25">
      <c r="G564" s="69"/>
      <c r="H564" s="1"/>
    </row>
    <row r="565" spans="7:8" x14ac:dyDescent="0.25">
      <c r="G565" s="69"/>
      <c r="H565" s="1"/>
    </row>
    <row r="566" spans="7:8" x14ac:dyDescent="0.25">
      <c r="G566" s="69"/>
      <c r="H566" s="1"/>
    </row>
    <row r="567" spans="7:8" x14ac:dyDescent="0.25">
      <c r="G567" s="69"/>
      <c r="H567" s="1"/>
    </row>
    <row r="568" spans="7:8" x14ac:dyDescent="0.25">
      <c r="G568" s="69"/>
      <c r="H568" s="1"/>
    </row>
    <row r="569" spans="7:8" x14ac:dyDescent="0.25">
      <c r="G569" s="69"/>
      <c r="H569" s="1"/>
    </row>
    <row r="570" spans="7:8" x14ac:dyDescent="0.25">
      <c r="G570" s="69"/>
      <c r="H570" s="1"/>
    </row>
    <row r="571" spans="7:8" x14ac:dyDescent="0.25">
      <c r="G571" s="69"/>
      <c r="H571" s="1"/>
    </row>
    <row r="572" spans="7:8" x14ac:dyDescent="0.25">
      <c r="G572" s="69"/>
      <c r="H572" s="1"/>
    </row>
    <row r="573" spans="7:8" x14ac:dyDescent="0.25">
      <c r="G573" s="69"/>
      <c r="H573" s="1"/>
    </row>
    <row r="574" spans="7:8" x14ac:dyDescent="0.25">
      <c r="G574" s="69"/>
      <c r="H574" s="1"/>
    </row>
    <row r="575" spans="7:8" x14ac:dyDescent="0.25">
      <c r="G575" s="69"/>
      <c r="H575" s="1"/>
    </row>
    <row r="576" spans="7:8" x14ac:dyDescent="0.25">
      <c r="G576" s="69"/>
      <c r="H576" s="1"/>
    </row>
    <row r="577" spans="7:8" x14ac:dyDescent="0.25">
      <c r="G577" s="69"/>
      <c r="H577" s="1"/>
    </row>
    <row r="578" spans="7:8" x14ac:dyDescent="0.25">
      <c r="G578" s="69"/>
      <c r="H578" s="1"/>
    </row>
    <row r="579" spans="7:8" x14ac:dyDescent="0.25">
      <c r="G579" s="69"/>
      <c r="H579" s="1"/>
    </row>
    <row r="580" spans="7:8" x14ac:dyDescent="0.25">
      <c r="G580" s="69"/>
      <c r="H580" s="1"/>
    </row>
    <row r="581" spans="7:8" x14ac:dyDescent="0.25">
      <c r="G581" s="69"/>
      <c r="H581" s="1"/>
    </row>
    <row r="582" spans="7:8" x14ac:dyDescent="0.25">
      <c r="G582" s="69"/>
      <c r="H582" s="1"/>
    </row>
    <row r="583" spans="7:8" x14ac:dyDescent="0.25">
      <c r="G583" s="69"/>
      <c r="H583" s="1"/>
    </row>
    <row r="584" spans="7:8" x14ac:dyDescent="0.25">
      <c r="G584" s="69"/>
      <c r="H584" s="1"/>
    </row>
    <row r="585" spans="7:8" x14ac:dyDescent="0.25">
      <c r="G585" s="69"/>
      <c r="H585" s="1"/>
    </row>
    <row r="586" spans="7:8" x14ac:dyDescent="0.25">
      <c r="G586" s="69"/>
      <c r="H586" s="1"/>
    </row>
    <row r="587" spans="7:8" x14ac:dyDescent="0.25">
      <c r="G587" s="69"/>
      <c r="H587" s="1"/>
    </row>
    <row r="588" spans="7:8" x14ac:dyDescent="0.25">
      <c r="G588" s="69"/>
      <c r="H588" s="1"/>
    </row>
    <row r="589" spans="7:8" x14ac:dyDescent="0.25">
      <c r="G589" s="69"/>
      <c r="H589" s="1"/>
    </row>
    <row r="590" spans="7:8" x14ac:dyDescent="0.25">
      <c r="G590" s="69"/>
      <c r="H590" s="1"/>
    </row>
    <row r="591" spans="7:8" x14ac:dyDescent="0.25">
      <c r="G591" s="69"/>
      <c r="H591" s="1"/>
    </row>
    <row r="592" spans="7:8" x14ac:dyDescent="0.25">
      <c r="G592" s="69"/>
      <c r="H592" s="1"/>
    </row>
    <row r="593" spans="7:8" x14ac:dyDescent="0.25">
      <c r="G593" s="69"/>
      <c r="H593" s="1"/>
    </row>
    <row r="594" spans="7:8" x14ac:dyDescent="0.25">
      <c r="G594" s="69"/>
      <c r="H594" s="1"/>
    </row>
    <row r="595" spans="7:8" x14ac:dyDescent="0.25">
      <c r="G595" s="69"/>
      <c r="H595" s="1"/>
    </row>
    <row r="596" spans="7:8" x14ac:dyDescent="0.25">
      <c r="G596" s="69"/>
      <c r="H596" s="1"/>
    </row>
    <row r="597" spans="7:8" x14ac:dyDescent="0.25">
      <c r="G597" s="69"/>
      <c r="H597" s="1"/>
    </row>
    <row r="598" spans="7:8" x14ac:dyDescent="0.25">
      <c r="G598" s="69"/>
      <c r="H598" s="1"/>
    </row>
    <row r="599" spans="7:8" x14ac:dyDescent="0.25">
      <c r="G599" s="69"/>
      <c r="H599" s="1"/>
    </row>
    <row r="600" spans="7:8" x14ac:dyDescent="0.25">
      <c r="G600" s="69"/>
      <c r="H600" s="1"/>
    </row>
    <row r="601" spans="7:8" x14ac:dyDescent="0.25">
      <c r="G601" s="69"/>
      <c r="H601" s="1"/>
    </row>
    <row r="602" spans="7:8" x14ac:dyDescent="0.25">
      <c r="G602" s="69"/>
      <c r="H602" s="1"/>
    </row>
    <row r="603" spans="7:8" x14ac:dyDescent="0.25">
      <c r="G603" s="69"/>
      <c r="H603" s="1"/>
    </row>
    <row r="604" spans="7:8" x14ac:dyDescent="0.25">
      <c r="G604" s="69"/>
      <c r="H604" s="1"/>
    </row>
    <row r="605" spans="7:8" x14ac:dyDescent="0.25">
      <c r="G605" s="69"/>
      <c r="H605" s="1"/>
    </row>
    <row r="606" spans="7:8" x14ac:dyDescent="0.25">
      <c r="G606" s="69"/>
      <c r="H606" s="1"/>
    </row>
    <row r="607" spans="7:8" x14ac:dyDescent="0.25">
      <c r="G607" s="69"/>
      <c r="H607" s="1"/>
    </row>
    <row r="608" spans="7:8" x14ac:dyDescent="0.25">
      <c r="G608" s="69"/>
      <c r="H608" s="1"/>
    </row>
    <row r="609" spans="7:8" x14ac:dyDescent="0.25">
      <c r="G609" s="69"/>
      <c r="H609" s="1"/>
    </row>
    <row r="610" spans="7:8" x14ac:dyDescent="0.25">
      <c r="G610" s="69"/>
      <c r="H610" s="1"/>
    </row>
    <row r="611" spans="7:8" x14ac:dyDescent="0.25">
      <c r="G611" s="69"/>
      <c r="H611" s="1"/>
    </row>
    <row r="612" spans="7:8" x14ac:dyDescent="0.25">
      <c r="G612" s="69"/>
      <c r="H612" s="1"/>
    </row>
    <row r="613" spans="7:8" x14ac:dyDescent="0.25">
      <c r="G613" s="69"/>
      <c r="H613" s="1"/>
    </row>
    <row r="614" spans="7:8" x14ac:dyDescent="0.25">
      <c r="G614" s="69"/>
      <c r="H614" s="1"/>
    </row>
    <row r="615" spans="7:8" x14ac:dyDescent="0.25">
      <c r="G615" s="69"/>
      <c r="H615" s="1"/>
    </row>
    <row r="616" spans="7:8" x14ac:dyDescent="0.25">
      <c r="G616" s="69"/>
      <c r="H616" s="1"/>
    </row>
    <row r="617" spans="7:8" x14ac:dyDescent="0.25">
      <c r="G617" s="69"/>
      <c r="H617" s="1"/>
    </row>
    <row r="618" spans="7:8" x14ac:dyDescent="0.25">
      <c r="G618" s="69"/>
      <c r="H618" s="1"/>
    </row>
    <row r="619" spans="7:8" x14ac:dyDescent="0.25">
      <c r="G619" s="69"/>
      <c r="H619" s="1"/>
    </row>
    <row r="620" spans="7:8" x14ac:dyDescent="0.25">
      <c r="G620" s="69"/>
      <c r="H620" s="1"/>
    </row>
    <row r="621" spans="7:8" x14ac:dyDescent="0.25">
      <c r="G621" s="69"/>
      <c r="H621" s="1"/>
    </row>
    <row r="622" spans="7:8" x14ac:dyDescent="0.25">
      <c r="G622" s="69"/>
      <c r="H622" s="1"/>
    </row>
    <row r="623" spans="7:8" x14ac:dyDescent="0.25">
      <c r="G623" s="69"/>
      <c r="H623" s="1"/>
    </row>
    <row r="624" spans="7:8" x14ac:dyDescent="0.25">
      <c r="G624" s="69"/>
      <c r="H624" s="1"/>
    </row>
    <row r="625" spans="7:8" x14ac:dyDescent="0.25">
      <c r="G625" s="69"/>
      <c r="H625" s="1"/>
    </row>
    <row r="626" spans="7:8" x14ac:dyDescent="0.25">
      <c r="G626" s="69"/>
      <c r="H626" s="1"/>
    </row>
    <row r="627" spans="7:8" x14ac:dyDescent="0.25">
      <c r="G627" s="69"/>
      <c r="H627" s="1"/>
    </row>
    <row r="628" spans="7:8" x14ac:dyDescent="0.25">
      <c r="G628" s="69"/>
      <c r="H628" s="1"/>
    </row>
    <row r="629" spans="7:8" x14ac:dyDescent="0.25">
      <c r="G629" s="69"/>
      <c r="H629" s="1"/>
    </row>
    <row r="630" spans="7:8" x14ac:dyDescent="0.25">
      <c r="G630" s="69"/>
      <c r="H630" s="1"/>
    </row>
    <row r="631" spans="7:8" x14ac:dyDescent="0.25">
      <c r="G631" s="69"/>
      <c r="H631" s="1"/>
    </row>
    <row r="632" spans="7:8" x14ac:dyDescent="0.25">
      <c r="G632" s="69"/>
      <c r="H632" s="1"/>
    </row>
    <row r="633" spans="7:8" x14ac:dyDescent="0.25">
      <c r="G633" s="69"/>
      <c r="H633" s="1"/>
    </row>
    <row r="634" spans="7:8" x14ac:dyDescent="0.25">
      <c r="G634" s="69"/>
      <c r="H634" s="1"/>
    </row>
    <row r="635" spans="7:8" x14ac:dyDescent="0.25">
      <c r="G635" s="69"/>
      <c r="H635" s="1"/>
    </row>
    <row r="636" spans="7:8" x14ac:dyDescent="0.25">
      <c r="G636" s="69"/>
      <c r="H636" s="1"/>
    </row>
    <row r="637" spans="7:8" x14ac:dyDescent="0.25">
      <c r="G637" s="69"/>
      <c r="H637" s="1"/>
    </row>
    <row r="638" spans="7:8" x14ac:dyDescent="0.25">
      <c r="G638" s="69"/>
      <c r="H638" s="1"/>
    </row>
    <row r="639" spans="7:8" x14ac:dyDescent="0.25">
      <c r="G639" s="69"/>
      <c r="H639" s="1"/>
    </row>
    <row r="640" spans="7:8" x14ac:dyDescent="0.25">
      <c r="G640" s="69"/>
      <c r="H640" s="1"/>
    </row>
    <row r="641" spans="7:8" x14ac:dyDescent="0.25">
      <c r="G641" s="69"/>
      <c r="H641" s="1"/>
    </row>
    <row r="642" spans="7:8" x14ac:dyDescent="0.25">
      <c r="G642" s="69"/>
      <c r="H642" s="1"/>
    </row>
    <row r="643" spans="7:8" x14ac:dyDescent="0.25">
      <c r="G643" s="69"/>
      <c r="H643" s="1"/>
    </row>
    <row r="644" spans="7:8" x14ac:dyDescent="0.25">
      <c r="G644" s="69"/>
      <c r="H644" s="1"/>
    </row>
    <row r="645" spans="7:8" x14ac:dyDescent="0.25">
      <c r="G645" s="69"/>
      <c r="H645" s="1"/>
    </row>
    <row r="646" spans="7:8" x14ac:dyDescent="0.25">
      <c r="G646" s="69"/>
      <c r="H646" s="1"/>
    </row>
    <row r="647" spans="7:8" x14ac:dyDescent="0.25">
      <c r="G647" s="69"/>
      <c r="H647" s="1"/>
    </row>
    <row r="648" spans="7:8" x14ac:dyDescent="0.25">
      <c r="G648" s="69"/>
      <c r="H648" s="1"/>
    </row>
    <row r="649" spans="7:8" x14ac:dyDescent="0.25">
      <c r="G649" s="69"/>
      <c r="H649" s="1"/>
    </row>
    <row r="650" spans="7:8" x14ac:dyDescent="0.25">
      <c r="G650" s="69"/>
      <c r="H650" s="1"/>
    </row>
    <row r="651" spans="7:8" x14ac:dyDescent="0.25">
      <c r="G651" s="69"/>
      <c r="H651" s="1"/>
    </row>
    <row r="652" spans="7:8" x14ac:dyDescent="0.25">
      <c r="G652" s="69"/>
      <c r="H652" s="1"/>
    </row>
    <row r="653" spans="7:8" x14ac:dyDescent="0.25">
      <c r="G653" s="69"/>
      <c r="H653" s="1"/>
    </row>
    <row r="654" spans="7:8" x14ac:dyDescent="0.25">
      <c r="G654" s="69"/>
      <c r="H654" s="1"/>
    </row>
    <row r="655" spans="7:8" x14ac:dyDescent="0.25">
      <c r="G655" s="69"/>
      <c r="H655" s="1"/>
    </row>
    <row r="656" spans="7:8" x14ac:dyDescent="0.25">
      <c r="G656" s="69"/>
      <c r="H656" s="1"/>
    </row>
    <row r="657" spans="7:8" x14ac:dyDescent="0.25">
      <c r="G657" s="69"/>
      <c r="H657" s="1"/>
    </row>
    <row r="658" spans="7:8" x14ac:dyDescent="0.25">
      <c r="G658" s="69"/>
      <c r="H658" s="1"/>
    </row>
    <row r="659" spans="7:8" x14ac:dyDescent="0.25">
      <c r="G659" s="69"/>
      <c r="H659" s="1"/>
    </row>
    <row r="660" spans="7:8" x14ac:dyDescent="0.25">
      <c r="G660" s="69"/>
      <c r="H660" s="1"/>
    </row>
    <row r="661" spans="7:8" x14ac:dyDescent="0.25">
      <c r="G661" s="69"/>
      <c r="H661" s="1"/>
    </row>
    <row r="662" spans="7:8" x14ac:dyDescent="0.25">
      <c r="G662" s="69"/>
      <c r="H662" s="1"/>
    </row>
    <row r="663" spans="7:8" x14ac:dyDescent="0.25">
      <c r="G663" s="69"/>
      <c r="H663" s="1"/>
    </row>
    <row r="664" spans="7:8" x14ac:dyDescent="0.25">
      <c r="G664" s="69"/>
      <c r="H664" s="1"/>
    </row>
    <row r="665" spans="7:8" x14ac:dyDescent="0.25">
      <c r="G665" s="69"/>
      <c r="H665" s="1"/>
    </row>
    <row r="666" spans="7:8" x14ac:dyDescent="0.25">
      <c r="G666" s="69"/>
      <c r="H666" s="1"/>
    </row>
    <row r="667" spans="7:8" x14ac:dyDescent="0.25">
      <c r="G667" s="69"/>
      <c r="H667" s="1"/>
    </row>
    <row r="668" spans="7:8" x14ac:dyDescent="0.25">
      <c r="G668" s="69"/>
      <c r="H668" s="1"/>
    </row>
    <row r="669" spans="7:8" x14ac:dyDescent="0.25">
      <c r="G669" s="69"/>
      <c r="H669" s="1"/>
    </row>
    <row r="670" spans="7:8" x14ac:dyDescent="0.25">
      <c r="G670" s="69"/>
      <c r="H670" s="1"/>
    </row>
    <row r="671" spans="7:8" x14ac:dyDescent="0.25">
      <c r="G671" s="69"/>
      <c r="H671" s="1"/>
    </row>
    <row r="672" spans="7:8" x14ac:dyDescent="0.25">
      <c r="G672" s="69"/>
      <c r="H672" s="1"/>
    </row>
    <row r="673" spans="7:8" x14ac:dyDescent="0.25">
      <c r="G673" s="69"/>
      <c r="H673" s="1"/>
    </row>
    <row r="674" spans="7:8" x14ac:dyDescent="0.25">
      <c r="G674" s="69"/>
      <c r="H674" s="1"/>
    </row>
    <row r="675" spans="7:8" x14ac:dyDescent="0.25">
      <c r="G675" s="69"/>
      <c r="H675" s="1"/>
    </row>
    <row r="676" spans="7:8" x14ac:dyDescent="0.25">
      <c r="G676" s="69"/>
      <c r="H676" s="1"/>
    </row>
    <row r="677" spans="7:8" x14ac:dyDescent="0.25">
      <c r="G677" s="69"/>
      <c r="H677" s="1"/>
    </row>
    <row r="678" spans="7:8" x14ac:dyDescent="0.25">
      <c r="G678" s="69"/>
      <c r="H678" s="1"/>
    </row>
    <row r="679" spans="7:8" x14ac:dyDescent="0.25">
      <c r="G679" s="69"/>
      <c r="H679" s="1"/>
    </row>
    <row r="680" spans="7:8" x14ac:dyDescent="0.25">
      <c r="G680" s="69"/>
      <c r="H680" s="1"/>
    </row>
    <row r="681" spans="7:8" x14ac:dyDescent="0.25">
      <c r="G681" s="69"/>
      <c r="H681" s="1"/>
    </row>
    <row r="682" spans="7:8" x14ac:dyDescent="0.25">
      <c r="G682" s="69"/>
      <c r="H682" s="1"/>
    </row>
    <row r="683" spans="7:8" x14ac:dyDescent="0.25">
      <c r="G683" s="69"/>
      <c r="H683" s="1"/>
    </row>
    <row r="684" spans="7:8" x14ac:dyDescent="0.25">
      <c r="G684" s="69"/>
      <c r="H684" s="1"/>
    </row>
    <row r="685" spans="7:8" x14ac:dyDescent="0.25">
      <c r="G685" s="69"/>
      <c r="H685" s="1"/>
    </row>
    <row r="686" spans="7:8" x14ac:dyDescent="0.25">
      <c r="G686" s="69"/>
      <c r="H686" s="1"/>
    </row>
    <row r="687" spans="7:8" x14ac:dyDescent="0.25">
      <c r="G687" s="69"/>
      <c r="H687" s="1"/>
    </row>
    <row r="688" spans="7:8" x14ac:dyDescent="0.25">
      <c r="G688" s="69"/>
      <c r="H688" s="1"/>
    </row>
    <row r="689" spans="7:8" x14ac:dyDescent="0.25">
      <c r="G689" s="69"/>
      <c r="H689" s="1"/>
    </row>
    <row r="690" spans="7:8" x14ac:dyDescent="0.25">
      <c r="G690" s="69"/>
      <c r="H690" s="1"/>
    </row>
    <row r="691" spans="7:8" x14ac:dyDescent="0.25">
      <c r="G691" s="69"/>
      <c r="H691" s="1"/>
    </row>
    <row r="692" spans="7:8" x14ac:dyDescent="0.25">
      <c r="G692" s="69"/>
      <c r="H692" s="1"/>
    </row>
    <row r="693" spans="7:8" x14ac:dyDescent="0.25">
      <c r="G693" s="69"/>
      <c r="H693" s="1"/>
    </row>
    <row r="694" spans="7:8" x14ac:dyDescent="0.25">
      <c r="G694" s="69"/>
      <c r="H694" s="1"/>
    </row>
    <row r="695" spans="7:8" x14ac:dyDescent="0.25">
      <c r="G695" s="69"/>
      <c r="H695" s="1"/>
    </row>
    <row r="696" spans="7:8" x14ac:dyDescent="0.25">
      <c r="G696" s="69"/>
      <c r="H696" s="1"/>
    </row>
    <row r="697" spans="7:8" x14ac:dyDescent="0.25">
      <c r="G697" s="69"/>
      <c r="H697" s="1"/>
    </row>
    <row r="698" spans="7:8" x14ac:dyDescent="0.25">
      <c r="G698" s="69"/>
      <c r="H698" s="1"/>
    </row>
    <row r="699" spans="7:8" x14ac:dyDescent="0.25">
      <c r="G699" s="69"/>
      <c r="H699" s="1"/>
    </row>
    <row r="700" spans="7:8" x14ac:dyDescent="0.25">
      <c r="G700" s="69"/>
      <c r="H700" s="1"/>
    </row>
    <row r="701" spans="7:8" x14ac:dyDescent="0.25">
      <c r="G701" s="69"/>
      <c r="H701" s="1"/>
    </row>
    <row r="702" spans="7:8" x14ac:dyDescent="0.25">
      <c r="G702" s="69"/>
      <c r="H702" s="1"/>
    </row>
    <row r="703" spans="7:8" x14ac:dyDescent="0.25">
      <c r="G703" s="69"/>
      <c r="H703" s="1"/>
    </row>
    <row r="704" spans="7:8" x14ac:dyDescent="0.25">
      <c r="G704" s="69"/>
      <c r="H704" s="1"/>
    </row>
    <row r="705" spans="7:8" x14ac:dyDescent="0.25">
      <c r="G705" s="69"/>
      <c r="H705" s="1"/>
    </row>
    <row r="706" spans="7:8" x14ac:dyDescent="0.25">
      <c r="G706" s="69"/>
      <c r="H706" s="1"/>
    </row>
    <row r="707" spans="7:8" x14ac:dyDescent="0.25">
      <c r="G707" s="69"/>
      <c r="H707" s="1"/>
    </row>
    <row r="708" spans="7:8" x14ac:dyDescent="0.25">
      <c r="G708" s="69"/>
      <c r="H708" s="1"/>
    </row>
    <row r="709" spans="7:8" x14ac:dyDescent="0.25">
      <c r="G709" s="69"/>
      <c r="H709" s="1"/>
    </row>
    <row r="710" spans="7:8" x14ac:dyDescent="0.25">
      <c r="G710" s="69"/>
      <c r="H710" s="1"/>
    </row>
    <row r="711" spans="7:8" x14ac:dyDescent="0.25">
      <c r="G711" s="69"/>
      <c r="H711" s="1"/>
    </row>
    <row r="712" spans="7:8" x14ac:dyDescent="0.25">
      <c r="G712" s="69"/>
      <c r="H712" s="1"/>
    </row>
    <row r="713" spans="7:8" x14ac:dyDescent="0.25">
      <c r="G713" s="69"/>
      <c r="H713" s="1"/>
    </row>
    <row r="714" spans="7:8" x14ac:dyDescent="0.25">
      <c r="G714" s="69"/>
      <c r="H714" s="1"/>
    </row>
    <row r="715" spans="7:8" x14ac:dyDescent="0.25">
      <c r="G715" s="69"/>
      <c r="H715" s="1"/>
    </row>
    <row r="716" spans="7:8" x14ac:dyDescent="0.25">
      <c r="G716" s="69"/>
      <c r="H716" s="1"/>
    </row>
    <row r="717" spans="7:8" x14ac:dyDescent="0.25">
      <c r="G717" s="69"/>
      <c r="H717" s="1"/>
    </row>
    <row r="718" spans="7:8" x14ac:dyDescent="0.25">
      <c r="G718" s="69"/>
      <c r="H718" s="1"/>
    </row>
    <row r="719" spans="7:8" x14ac:dyDescent="0.25">
      <c r="G719" s="69"/>
      <c r="H719" s="1"/>
    </row>
    <row r="720" spans="7:8" x14ac:dyDescent="0.25">
      <c r="G720" s="69"/>
      <c r="H720" s="1"/>
    </row>
    <row r="721" spans="7:8" x14ac:dyDescent="0.25">
      <c r="G721" s="69"/>
      <c r="H721" s="1"/>
    </row>
    <row r="722" spans="7:8" x14ac:dyDescent="0.25">
      <c r="G722" s="69"/>
      <c r="H722" s="1"/>
    </row>
    <row r="723" spans="7:8" x14ac:dyDescent="0.25">
      <c r="G723" s="69"/>
      <c r="H723" s="1"/>
    </row>
    <row r="724" spans="7:8" x14ac:dyDescent="0.25">
      <c r="G724" s="69"/>
      <c r="H724" s="1"/>
    </row>
    <row r="725" spans="7:8" x14ac:dyDescent="0.25">
      <c r="G725" s="69"/>
      <c r="H725" s="1"/>
    </row>
    <row r="726" spans="7:8" x14ac:dyDescent="0.25">
      <c r="G726" s="69"/>
      <c r="H726" s="1"/>
    </row>
    <row r="727" spans="7:8" x14ac:dyDescent="0.25">
      <c r="G727" s="69"/>
      <c r="H727" s="1"/>
    </row>
    <row r="728" spans="7:8" x14ac:dyDescent="0.25">
      <c r="G728" s="69"/>
      <c r="H728" s="1"/>
    </row>
    <row r="729" spans="7:8" x14ac:dyDescent="0.25">
      <c r="G729" s="69"/>
      <c r="H729" s="1"/>
    </row>
    <row r="730" spans="7:8" x14ac:dyDescent="0.25">
      <c r="G730" s="69"/>
      <c r="H730" s="1"/>
    </row>
    <row r="731" spans="7:8" x14ac:dyDescent="0.25">
      <c r="G731" s="69"/>
      <c r="H731" s="1"/>
    </row>
    <row r="732" spans="7:8" x14ac:dyDescent="0.25">
      <c r="G732" s="69"/>
      <c r="H732" s="1"/>
    </row>
    <row r="733" spans="7:8" x14ac:dyDescent="0.25">
      <c r="G733" s="69"/>
      <c r="H733" s="1"/>
    </row>
    <row r="734" spans="7:8" x14ac:dyDescent="0.25">
      <c r="G734" s="69"/>
      <c r="H734" s="1"/>
    </row>
    <row r="735" spans="7:8" x14ac:dyDescent="0.25">
      <c r="G735" s="69"/>
      <c r="H735" s="1"/>
    </row>
    <row r="736" spans="7:8" x14ac:dyDescent="0.25">
      <c r="G736" s="69"/>
      <c r="H736" s="1"/>
    </row>
    <row r="737" spans="7:8" x14ac:dyDescent="0.25">
      <c r="G737" s="69"/>
      <c r="H737" s="1"/>
    </row>
    <row r="738" spans="7:8" x14ac:dyDescent="0.25">
      <c r="G738" s="69"/>
      <c r="H738" s="1"/>
    </row>
    <row r="739" spans="7:8" x14ac:dyDescent="0.25">
      <c r="G739" s="69"/>
      <c r="H739" s="1"/>
    </row>
    <row r="740" spans="7:8" x14ac:dyDescent="0.25">
      <c r="G740" s="69"/>
      <c r="H740" s="1"/>
    </row>
    <row r="741" spans="7:8" x14ac:dyDescent="0.25">
      <c r="G741" s="69"/>
      <c r="H741" s="1"/>
    </row>
    <row r="742" spans="7:8" x14ac:dyDescent="0.25">
      <c r="G742" s="69"/>
      <c r="H742" s="1"/>
    </row>
    <row r="743" spans="7:8" x14ac:dyDescent="0.25">
      <c r="G743" s="69"/>
      <c r="H743" s="1"/>
    </row>
    <row r="744" spans="7:8" x14ac:dyDescent="0.25">
      <c r="G744" s="69"/>
      <c r="H744" s="1"/>
    </row>
    <row r="745" spans="7:8" x14ac:dyDescent="0.25">
      <c r="G745" s="69"/>
      <c r="H745" s="1"/>
    </row>
    <row r="746" spans="7:8" x14ac:dyDescent="0.25">
      <c r="G746" s="69"/>
      <c r="H746" s="1"/>
    </row>
    <row r="747" spans="7:8" x14ac:dyDescent="0.25">
      <c r="G747" s="69"/>
      <c r="H747" s="1"/>
    </row>
    <row r="748" spans="7:8" x14ac:dyDescent="0.25">
      <c r="G748" s="69"/>
      <c r="H748" s="1"/>
    </row>
    <row r="749" spans="7:8" x14ac:dyDescent="0.25">
      <c r="G749" s="69"/>
      <c r="H749" s="1"/>
    </row>
    <row r="750" spans="7:8" x14ac:dyDescent="0.25">
      <c r="G750" s="69"/>
      <c r="H750" s="1"/>
    </row>
    <row r="751" spans="7:8" x14ac:dyDescent="0.25">
      <c r="G751" s="69"/>
      <c r="H751" s="1"/>
    </row>
    <row r="752" spans="7:8" x14ac:dyDescent="0.25">
      <c r="G752" s="69"/>
      <c r="H752" s="1"/>
    </row>
    <row r="753" spans="7:8" x14ac:dyDescent="0.25">
      <c r="G753" s="69"/>
      <c r="H753" s="1"/>
    </row>
    <row r="754" spans="7:8" x14ac:dyDescent="0.25">
      <c r="G754" s="69"/>
      <c r="H754" s="1"/>
    </row>
    <row r="755" spans="7:8" x14ac:dyDescent="0.25">
      <c r="G755" s="69"/>
      <c r="H755" s="1"/>
    </row>
    <row r="756" spans="7:8" x14ac:dyDescent="0.25">
      <c r="G756" s="69"/>
      <c r="H756" s="1"/>
    </row>
    <row r="757" spans="7:8" x14ac:dyDescent="0.25">
      <c r="G757" s="69"/>
      <c r="H757" s="1"/>
    </row>
    <row r="758" spans="7:8" x14ac:dyDescent="0.25">
      <c r="G758" s="69"/>
      <c r="H758" s="1"/>
    </row>
    <row r="759" spans="7:8" x14ac:dyDescent="0.25">
      <c r="G759" s="69"/>
      <c r="H759" s="1"/>
    </row>
    <row r="760" spans="7:8" x14ac:dyDescent="0.25">
      <c r="G760" s="69"/>
      <c r="H760" s="1"/>
    </row>
    <row r="761" spans="7:8" x14ac:dyDescent="0.25">
      <c r="G761" s="69"/>
      <c r="H761" s="1"/>
    </row>
    <row r="762" spans="7:8" x14ac:dyDescent="0.25">
      <c r="G762" s="69"/>
      <c r="H762" s="1"/>
    </row>
    <row r="763" spans="7:8" x14ac:dyDescent="0.25">
      <c r="G763" s="69"/>
      <c r="H763" s="1"/>
    </row>
    <row r="764" spans="7:8" x14ac:dyDescent="0.25">
      <c r="G764" s="69"/>
      <c r="H764" s="1"/>
    </row>
    <row r="765" spans="7:8" x14ac:dyDescent="0.25">
      <c r="G765" s="69"/>
      <c r="H765" s="1"/>
    </row>
    <row r="766" spans="7:8" x14ac:dyDescent="0.25">
      <c r="G766" s="69"/>
      <c r="H766" s="1"/>
    </row>
    <row r="767" spans="7:8" x14ac:dyDescent="0.25">
      <c r="G767" s="69"/>
      <c r="H767" s="1"/>
    </row>
    <row r="768" spans="7:8" x14ac:dyDescent="0.25">
      <c r="G768" s="69"/>
      <c r="H768" s="1"/>
    </row>
    <row r="769" spans="7:8" x14ac:dyDescent="0.25">
      <c r="G769" s="69"/>
      <c r="H769" s="1"/>
    </row>
    <row r="770" spans="7:8" x14ac:dyDescent="0.25">
      <c r="G770" s="69"/>
      <c r="H770" s="1"/>
    </row>
    <row r="771" spans="7:8" x14ac:dyDescent="0.25">
      <c r="G771" s="69"/>
      <c r="H771" s="1"/>
    </row>
    <row r="772" spans="7:8" x14ac:dyDescent="0.25">
      <c r="G772" s="69"/>
      <c r="H772" s="1"/>
    </row>
    <row r="773" spans="7:8" x14ac:dyDescent="0.25">
      <c r="G773" s="69"/>
      <c r="H773" s="1"/>
    </row>
    <row r="774" spans="7:8" x14ac:dyDescent="0.25">
      <c r="G774" s="69"/>
      <c r="H774" s="1"/>
    </row>
    <row r="775" spans="7:8" x14ac:dyDescent="0.25">
      <c r="G775" s="69"/>
      <c r="H775" s="1"/>
    </row>
    <row r="776" spans="7:8" x14ac:dyDescent="0.25">
      <c r="G776" s="69"/>
      <c r="H776" s="1"/>
    </row>
    <row r="777" spans="7:8" x14ac:dyDescent="0.25">
      <c r="G777" s="69"/>
      <c r="H777" s="1"/>
    </row>
    <row r="778" spans="7:8" x14ac:dyDescent="0.25">
      <c r="G778" s="69"/>
      <c r="H778" s="1"/>
    </row>
    <row r="779" spans="7:8" x14ac:dyDescent="0.25">
      <c r="G779" s="69"/>
      <c r="H779" s="1"/>
    </row>
    <row r="780" spans="7:8" x14ac:dyDescent="0.25">
      <c r="G780" s="69"/>
      <c r="H780" s="1"/>
    </row>
    <row r="781" spans="7:8" x14ac:dyDescent="0.25">
      <c r="G781" s="69"/>
      <c r="H781" s="1"/>
    </row>
    <row r="782" spans="7:8" x14ac:dyDescent="0.25">
      <c r="G782" s="69"/>
      <c r="H782" s="1"/>
    </row>
    <row r="783" spans="7:8" x14ac:dyDescent="0.25">
      <c r="G783" s="69"/>
      <c r="H783" s="1"/>
    </row>
    <row r="784" spans="7:8" x14ac:dyDescent="0.25">
      <c r="G784" s="69"/>
      <c r="H784" s="1"/>
    </row>
    <row r="785" spans="7:8" x14ac:dyDescent="0.25">
      <c r="G785" s="69"/>
      <c r="H785" s="1"/>
    </row>
    <row r="786" spans="7:8" x14ac:dyDescent="0.25">
      <c r="G786" s="69"/>
      <c r="H786" s="1"/>
    </row>
    <row r="787" spans="7:8" x14ac:dyDescent="0.25">
      <c r="G787" s="69"/>
      <c r="H787" s="1"/>
    </row>
    <row r="788" spans="7:8" x14ac:dyDescent="0.25">
      <c r="G788" s="69"/>
      <c r="H788" s="1"/>
    </row>
    <row r="789" spans="7:8" x14ac:dyDescent="0.25">
      <c r="G789" s="69"/>
      <c r="H789" s="1"/>
    </row>
    <row r="790" spans="7:8" x14ac:dyDescent="0.25">
      <c r="G790" s="69"/>
      <c r="H790" s="1"/>
    </row>
    <row r="791" spans="7:8" x14ac:dyDescent="0.25">
      <c r="G791" s="69"/>
      <c r="H791" s="1"/>
    </row>
    <row r="792" spans="7:8" x14ac:dyDescent="0.25">
      <c r="G792" s="69"/>
      <c r="H792" s="1"/>
    </row>
    <row r="793" spans="7:8" x14ac:dyDescent="0.25">
      <c r="G793" s="69"/>
      <c r="H793" s="1"/>
    </row>
    <row r="794" spans="7:8" x14ac:dyDescent="0.25">
      <c r="G794" s="69"/>
      <c r="H794" s="1"/>
    </row>
    <row r="795" spans="7:8" x14ac:dyDescent="0.25">
      <c r="G795" s="69"/>
      <c r="H795" s="1"/>
    </row>
    <row r="796" spans="7:8" x14ac:dyDescent="0.25">
      <c r="G796" s="69"/>
      <c r="H796" s="1"/>
    </row>
    <row r="797" spans="7:8" x14ac:dyDescent="0.25">
      <c r="G797" s="69"/>
      <c r="H797" s="1"/>
    </row>
    <row r="798" spans="7:8" x14ac:dyDescent="0.25">
      <c r="G798" s="69"/>
      <c r="H798" s="1"/>
    </row>
    <row r="799" spans="7:8" x14ac:dyDescent="0.25">
      <c r="G799" s="69"/>
      <c r="H799" s="1"/>
    </row>
    <row r="800" spans="7:8" x14ac:dyDescent="0.25">
      <c r="G800" s="69"/>
      <c r="H800" s="1"/>
    </row>
    <row r="801" spans="7:8" x14ac:dyDescent="0.25">
      <c r="G801" s="69"/>
      <c r="H801" s="1"/>
    </row>
    <row r="802" spans="7:8" x14ac:dyDescent="0.25">
      <c r="G802" s="69"/>
      <c r="H802" s="1"/>
    </row>
    <row r="803" spans="7:8" x14ac:dyDescent="0.25">
      <c r="G803" s="69"/>
      <c r="H803" s="1"/>
    </row>
    <row r="804" spans="7:8" x14ac:dyDescent="0.25">
      <c r="G804" s="69"/>
      <c r="H804" s="1"/>
    </row>
    <row r="805" spans="7:8" x14ac:dyDescent="0.25">
      <c r="G805" s="69"/>
      <c r="H805" s="1"/>
    </row>
    <row r="806" spans="7:8" x14ac:dyDescent="0.25">
      <c r="G806" s="69"/>
      <c r="H806" s="1"/>
    </row>
    <row r="807" spans="7:8" x14ac:dyDescent="0.25">
      <c r="G807" s="69"/>
      <c r="H807" s="1"/>
    </row>
    <row r="808" spans="7:8" x14ac:dyDescent="0.25">
      <c r="G808" s="69"/>
      <c r="H808" s="1"/>
    </row>
    <row r="809" spans="7:8" x14ac:dyDescent="0.25">
      <c r="G809" s="69"/>
      <c r="H809" s="1"/>
    </row>
    <row r="810" spans="7:8" x14ac:dyDescent="0.25">
      <c r="G810" s="69"/>
      <c r="H810" s="1"/>
    </row>
    <row r="811" spans="7:8" x14ac:dyDescent="0.25">
      <c r="G811" s="69"/>
      <c r="H811" s="1"/>
    </row>
    <row r="812" spans="7:8" x14ac:dyDescent="0.25">
      <c r="G812" s="69"/>
      <c r="H812" s="1"/>
    </row>
    <row r="813" spans="7:8" x14ac:dyDescent="0.25">
      <c r="G813" s="69"/>
      <c r="H813" s="1"/>
    </row>
    <row r="814" spans="7:8" x14ac:dyDescent="0.25">
      <c r="G814" s="69"/>
      <c r="H814" s="1"/>
    </row>
    <row r="815" spans="7:8" x14ac:dyDescent="0.25">
      <c r="G815" s="69"/>
      <c r="H815" s="1"/>
    </row>
    <row r="816" spans="7:8" x14ac:dyDescent="0.25">
      <c r="G816" s="69"/>
      <c r="H816" s="1"/>
    </row>
    <row r="817" spans="7:8" x14ac:dyDescent="0.25">
      <c r="G817" s="69"/>
      <c r="H817" s="1"/>
    </row>
    <row r="818" spans="7:8" x14ac:dyDescent="0.25">
      <c r="G818" s="69"/>
      <c r="H818" s="1"/>
    </row>
    <row r="819" spans="7:8" x14ac:dyDescent="0.25">
      <c r="G819" s="69"/>
      <c r="H819" s="1"/>
    </row>
    <row r="820" spans="7:8" x14ac:dyDescent="0.25">
      <c r="G820" s="69"/>
      <c r="H820" s="1"/>
    </row>
    <row r="821" spans="7:8" x14ac:dyDescent="0.25">
      <c r="G821" s="69"/>
      <c r="H821" s="1"/>
    </row>
    <row r="822" spans="7:8" x14ac:dyDescent="0.25">
      <c r="G822" s="69"/>
      <c r="H822" s="1"/>
    </row>
    <row r="823" spans="7:8" x14ac:dyDescent="0.25">
      <c r="G823" s="69"/>
      <c r="H823" s="1"/>
    </row>
    <row r="824" spans="7:8" x14ac:dyDescent="0.25">
      <c r="G824" s="69"/>
      <c r="H824" s="1"/>
    </row>
    <row r="825" spans="7:8" x14ac:dyDescent="0.25">
      <c r="G825" s="69"/>
      <c r="H825" s="1"/>
    </row>
    <row r="826" spans="7:8" x14ac:dyDescent="0.25">
      <c r="G826" s="69"/>
      <c r="H826" s="1"/>
    </row>
    <row r="827" spans="7:8" x14ac:dyDescent="0.25">
      <c r="G827" s="69"/>
      <c r="H827" s="1"/>
    </row>
    <row r="828" spans="7:8" x14ac:dyDescent="0.25">
      <c r="G828" s="69"/>
      <c r="H828" s="1"/>
    </row>
    <row r="829" spans="7:8" x14ac:dyDescent="0.25">
      <c r="G829" s="69"/>
      <c r="H829" s="1"/>
    </row>
    <row r="830" spans="7:8" x14ac:dyDescent="0.25">
      <c r="G830" s="69"/>
      <c r="H830" s="1"/>
    </row>
    <row r="831" spans="7:8" x14ac:dyDescent="0.25">
      <c r="G831" s="69"/>
      <c r="H831" s="1"/>
    </row>
    <row r="832" spans="7:8" x14ac:dyDescent="0.25">
      <c r="G832" s="69"/>
      <c r="H832" s="1"/>
    </row>
    <row r="833" spans="7:8" x14ac:dyDescent="0.25">
      <c r="G833" s="69"/>
      <c r="H833" s="1"/>
    </row>
    <row r="834" spans="7:8" x14ac:dyDescent="0.25">
      <c r="G834" s="69"/>
      <c r="H834" s="1"/>
    </row>
    <row r="835" spans="7:8" x14ac:dyDescent="0.25">
      <c r="G835" s="69"/>
      <c r="H835" s="1"/>
    </row>
    <row r="836" spans="7:8" x14ac:dyDescent="0.25">
      <c r="G836" s="69"/>
      <c r="H836" s="1"/>
    </row>
    <row r="837" spans="7:8" x14ac:dyDescent="0.25">
      <c r="G837" s="69"/>
      <c r="H837" s="1"/>
    </row>
    <row r="838" spans="7:8" x14ac:dyDescent="0.25">
      <c r="G838" s="69"/>
      <c r="H838" s="1"/>
    </row>
    <row r="839" spans="7:8" x14ac:dyDescent="0.25">
      <c r="G839" s="69"/>
      <c r="H839" s="1"/>
    </row>
    <row r="840" spans="7:8" x14ac:dyDescent="0.25">
      <c r="G840" s="69"/>
      <c r="H840" s="1"/>
    </row>
    <row r="841" spans="7:8" x14ac:dyDescent="0.25">
      <c r="G841" s="69"/>
      <c r="H841" s="1"/>
    </row>
    <row r="842" spans="7:8" x14ac:dyDescent="0.25">
      <c r="G842" s="69"/>
      <c r="H842" s="1"/>
    </row>
    <row r="843" spans="7:8" x14ac:dyDescent="0.25">
      <c r="G843" s="69"/>
      <c r="H843" s="1"/>
    </row>
    <row r="844" spans="7:8" x14ac:dyDescent="0.25">
      <c r="G844" s="69"/>
      <c r="H844" s="1"/>
    </row>
    <row r="845" spans="7:8" x14ac:dyDescent="0.25">
      <c r="G845" s="69"/>
      <c r="H845" s="1"/>
    </row>
    <row r="846" spans="7:8" x14ac:dyDescent="0.25">
      <c r="G846" s="69"/>
      <c r="H846" s="1"/>
    </row>
    <row r="847" spans="7:8" x14ac:dyDescent="0.25">
      <c r="G847" s="69"/>
      <c r="H847" s="1"/>
    </row>
    <row r="848" spans="7:8" x14ac:dyDescent="0.25">
      <c r="G848" s="69"/>
      <c r="H848" s="1"/>
    </row>
    <row r="849" spans="7:8" x14ac:dyDescent="0.25">
      <c r="G849" s="69"/>
      <c r="H849" s="1"/>
    </row>
    <row r="850" spans="7:8" x14ac:dyDescent="0.25">
      <c r="G850" s="69"/>
      <c r="H850" s="1"/>
    </row>
    <row r="851" spans="7:8" x14ac:dyDescent="0.25">
      <c r="G851" s="69"/>
      <c r="H851" s="1"/>
    </row>
    <row r="852" spans="7:8" x14ac:dyDescent="0.25">
      <c r="G852" s="69"/>
      <c r="H852" s="1"/>
    </row>
    <row r="853" spans="7:8" x14ac:dyDescent="0.25">
      <c r="G853" s="69"/>
      <c r="H853" s="1"/>
    </row>
    <row r="854" spans="7:8" x14ac:dyDescent="0.25">
      <c r="G854" s="69"/>
      <c r="H854" s="1"/>
    </row>
    <row r="855" spans="7:8" x14ac:dyDescent="0.25">
      <c r="G855" s="69"/>
      <c r="H855" s="1"/>
    </row>
    <row r="856" spans="7:8" x14ac:dyDescent="0.25">
      <c r="G856" s="69"/>
      <c r="H856" s="1"/>
    </row>
    <row r="857" spans="7:8" x14ac:dyDescent="0.25">
      <c r="G857" s="69"/>
      <c r="H857" s="1"/>
    </row>
    <row r="858" spans="7:8" x14ac:dyDescent="0.25">
      <c r="G858" s="69"/>
      <c r="H858" s="1"/>
    </row>
    <row r="859" spans="7:8" x14ac:dyDescent="0.25">
      <c r="G859" s="69"/>
      <c r="H859" s="1"/>
    </row>
    <row r="860" spans="7:8" x14ac:dyDescent="0.25">
      <c r="G860" s="69"/>
      <c r="H860" s="1"/>
    </row>
    <row r="861" spans="7:8" x14ac:dyDescent="0.25">
      <c r="G861" s="69"/>
      <c r="H861" s="1"/>
    </row>
    <row r="862" spans="7:8" x14ac:dyDescent="0.25">
      <c r="G862" s="69"/>
      <c r="H862" s="1"/>
    </row>
    <row r="863" spans="7:8" x14ac:dyDescent="0.25">
      <c r="G863" s="69"/>
      <c r="H863" s="1"/>
    </row>
    <row r="864" spans="7:8" x14ac:dyDescent="0.25">
      <c r="G864" s="69"/>
      <c r="H864" s="1"/>
    </row>
    <row r="865" spans="7:8" x14ac:dyDescent="0.25">
      <c r="G865" s="69"/>
      <c r="H865" s="1"/>
    </row>
    <row r="866" spans="7:8" x14ac:dyDescent="0.25">
      <c r="G866" s="69"/>
      <c r="H866" s="1"/>
    </row>
    <row r="867" spans="7:8" x14ac:dyDescent="0.25">
      <c r="G867" s="69"/>
      <c r="H867" s="1"/>
    </row>
    <row r="868" spans="7:8" x14ac:dyDescent="0.25">
      <c r="G868" s="69"/>
      <c r="H868" s="1"/>
    </row>
    <row r="869" spans="7:8" x14ac:dyDescent="0.25">
      <c r="G869" s="69"/>
      <c r="H869" s="1"/>
    </row>
    <row r="870" spans="7:8" x14ac:dyDescent="0.25">
      <c r="G870" s="69"/>
      <c r="H870" s="1"/>
    </row>
    <row r="871" spans="7:8" x14ac:dyDescent="0.25">
      <c r="G871" s="69"/>
      <c r="H871" s="1"/>
    </row>
    <row r="872" spans="7:8" x14ac:dyDescent="0.25">
      <c r="G872" s="69"/>
      <c r="H872" s="1"/>
    </row>
    <row r="873" spans="7:8" x14ac:dyDescent="0.25">
      <c r="G873" s="69"/>
      <c r="H873" s="1"/>
    </row>
    <row r="874" spans="7:8" x14ac:dyDescent="0.25">
      <c r="G874" s="69"/>
      <c r="H874" s="1"/>
    </row>
    <row r="875" spans="7:8" x14ac:dyDescent="0.25">
      <c r="G875" s="69"/>
      <c r="H875" s="1"/>
    </row>
    <row r="876" spans="7:8" x14ac:dyDescent="0.25">
      <c r="G876" s="69"/>
      <c r="H876" s="1"/>
    </row>
    <row r="877" spans="7:8" x14ac:dyDescent="0.25">
      <c r="G877" s="69"/>
      <c r="H877" s="1"/>
    </row>
    <row r="878" spans="7:8" x14ac:dyDescent="0.25">
      <c r="G878" s="69"/>
      <c r="H878" s="1"/>
    </row>
    <row r="879" spans="7:8" x14ac:dyDescent="0.25">
      <c r="G879" s="69"/>
      <c r="H879" s="1"/>
    </row>
    <row r="880" spans="7:8" x14ac:dyDescent="0.25">
      <c r="G880" s="69"/>
      <c r="H880" s="1"/>
    </row>
    <row r="881" spans="7:8" x14ac:dyDescent="0.25">
      <c r="G881" s="69"/>
      <c r="H881" s="1"/>
    </row>
    <row r="882" spans="7:8" x14ac:dyDescent="0.25">
      <c r="G882" s="69"/>
      <c r="H882" s="1"/>
    </row>
    <row r="883" spans="7:8" x14ac:dyDescent="0.25">
      <c r="G883" s="69"/>
      <c r="H883" s="1"/>
    </row>
    <row r="884" spans="7:8" x14ac:dyDescent="0.25">
      <c r="G884" s="69"/>
      <c r="H884" s="1"/>
    </row>
    <row r="885" spans="7:8" x14ac:dyDescent="0.25">
      <c r="G885" s="69"/>
      <c r="H885" s="1"/>
    </row>
    <row r="886" spans="7:8" x14ac:dyDescent="0.25">
      <c r="G886" s="69"/>
      <c r="H886" s="1"/>
    </row>
    <row r="887" spans="7:8" x14ac:dyDescent="0.25">
      <c r="G887" s="69"/>
      <c r="H887" s="1"/>
    </row>
    <row r="888" spans="7:8" x14ac:dyDescent="0.25">
      <c r="G888" s="69"/>
      <c r="H888" s="1"/>
    </row>
    <row r="889" spans="7:8" x14ac:dyDescent="0.25">
      <c r="G889" s="69"/>
      <c r="H889" s="1"/>
    </row>
    <row r="890" spans="7:8" x14ac:dyDescent="0.25">
      <c r="G890" s="69"/>
      <c r="H890" s="1"/>
    </row>
    <row r="891" spans="7:8" x14ac:dyDescent="0.25">
      <c r="G891" s="69"/>
      <c r="H891" s="1"/>
    </row>
    <row r="892" spans="7:8" x14ac:dyDescent="0.25">
      <c r="G892" s="69"/>
      <c r="H892" s="1"/>
    </row>
    <row r="893" spans="7:8" x14ac:dyDescent="0.25">
      <c r="G893" s="69"/>
      <c r="H893" s="1"/>
    </row>
    <row r="894" spans="7:8" x14ac:dyDescent="0.25">
      <c r="G894" s="69"/>
      <c r="H894" s="1"/>
    </row>
    <row r="895" spans="7:8" x14ac:dyDescent="0.25">
      <c r="G895" s="69"/>
      <c r="H895" s="1"/>
    </row>
    <row r="896" spans="7:8" x14ac:dyDescent="0.25">
      <c r="G896" s="69"/>
      <c r="H896" s="1"/>
    </row>
    <row r="897" spans="7:8" x14ac:dyDescent="0.25">
      <c r="G897" s="69"/>
      <c r="H897" s="1"/>
    </row>
    <row r="898" spans="7:8" x14ac:dyDescent="0.25">
      <c r="G898" s="69"/>
      <c r="H898" s="1"/>
    </row>
    <row r="899" spans="7:8" x14ac:dyDescent="0.25">
      <c r="G899" s="69"/>
      <c r="H899" s="1"/>
    </row>
    <row r="900" spans="7:8" x14ac:dyDescent="0.25">
      <c r="G900" s="69"/>
      <c r="H900" s="1"/>
    </row>
    <row r="901" spans="7:8" x14ac:dyDescent="0.25">
      <c r="G901" s="69"/>
      <c r="H901" s="1"/>
    </row>
    <row r="902" spans="7:8" x14ac:dyDescent="0.25">
      <c r="G902" s="69"/>
      <c r="H902" s="1"/>
    </row>
    <row r="903" spans="7:8" x14ac:dyDescent="0.25">
      <c r="G903" s="69"/>
      <c r="H903" s="1"/>
    </row>
    <row r="904" spans="7:8" x14ac:dyDescent="0.25">
      <c r="G904" s="69"/>
      <c r="H904" s="1"/>
    </row>
    <row r="905" spans="7:8" x14ac:dyDescent="0.25">
      <c r="G905" s="69"/>
      <c r="H905" s="1"/>
    </row>
    <row r="906" spans="7:8" x14ac:dyDescent="0.25">
      <c r="G906" s="69"/>
      <c r="H906" s="1"/>
    </row>
    <row r="907" spans="7:8" x14ac:dyDescent="0.25">
      <c r="G907" s="69"/>
      <c r="H907" s="1"/>
    </row>
    <row r="908" spans="7:8" x14ac:dyDescent="0.25">
      <c r="G908" s="69"/>
      <c r="H908" s="1"/>
    </row>
    <row r="909" spans="7:8" x14ac:dyDescent="0.25">
      <c r="G909" s="69"/>
      <c r="H909" s="1"/>
    </row>
    <row r="910" spans="7:8" x14ac:dyDescent="0.25">
      <c r="G910" s="69"/>
      <c r="H910" s="1"/>
    </row>
    <row r="911" spans="7:8" x14ac:dyDescent="0.25">
      <c r="G911" s="69"/>
      <c r="H911" s="1"/>
    </row>
    <row r="912" spans="7:8" x14ac:dyDescent="0.25">
      <c r="G912" s="69"/>
      <c r="H912" s="1"/>
    </row>
    <row r="913" spans="7:8" x14ac:dyDescent="0.25">
      <c r="G913" s="69"/>
      <c r="H913" s="1"/>
    </row>
    <row r="914" spans="7:8" x14ac:dyDescent="0.25">
      <c r="G914" s="69"/>
      <c r="H914" s="1"/>
    </row>
    <row r="915" spans="7:8" x14ac:dyDescent="0.25">
      <c r="G915" s="69"/>
      <c r="H915" s="1"/>
    </row>
    <row r="916" spans="7:8" x14ac:dyDescent="0.25">
      <c r="G916" s="69"/>
      <c r="H916" s="1"/>
    </row>
    <row r="917" spans="7:8" x14ac:dyDescent="0.25">
      <c r="G917" s="69"/>
      <c r="H917" s="1"/>
    </row>
    <row r="918" spans="7:8" x14ac:dyDescent="0.25">
      <c r="G918" s="69"/>
      <c r="H918" s="1"/>
    </row>
    <row r="919" spans="7:8" x14ac:dyDescent="0.25">
      <c r="G919" s="69"/>
      <c r="H919" s="1"/>
    </row>
    <row r="920" spans="7:8" x14ac:dyDescent="0.25">
      <c r="G920" s="69"/>
      <c r="H920" s="1"/>
    </row>
    <row r="921" spans="7:8" x14ac:dyDescent="0.25">
      <c r="G921" s="69"/>
      <c r="H921" s="1"/>
    </row>
    <row r="922" spans="7:8" x14ac:dyDescent="0.25">
      <c r="G922" s="69"/>
      <c r="H922" s="1"/>
    </row>
    <row r="923" spans="7:8" x14ac:dyDescent="0.25">
      <c r="G923" s="69"/>
      <c r="H923" s="1"/>
    </row>
    <row r="924" spans="7:8" x14ac:dyDescent="0.25">
      <c r="G924" s="69"/>
      <c r="H924" s="1"/>
    </row>
    <row r="925" spans="7:8" x14ac:dyDescent="0.25">
      <c r="G925" s="69"/>
      <c r="H925" s="1"/>
    </row>
    <row r="926" spans="7:8" x14ac:dyDescent="0.25">
      <c r="G926" s="69"/>
      <c r="H926" s="1"/>
    </row>
    <row r="927" spans="7:8" x14ac:dyDescent="0.25">
      <c r="G927" s="69"/>
      <c r="H927" s="1"/>
    </row>
    <row r="928" spans="7:8" x14ac:dyDescent="0.25">
      <c r="G928" s="69"/>
      <c r="H928" s="1"/>
    </row>
    <row r="929" spans="7:8" x14ac:dyDescent="0.25">
      <c r="G929" s="69"/>
      <c r="H929" s="1"/>
    </row>
    <row r="930" spans="7:8" x14ac:dyDescent="0.25">
      <c r="G930" s="69"/>
      <c r="H930" s="1"/>
    </row>
    <row r="931" spans="7:8" x14ac:dyDescent="0.25">
      <c r="G931" s="69"/>
      <c r="H931" s="1"/>
    </row>
    <row r="932" spans="7:8" x14ac:dyDescent="0.25">
      <c r="G932" s="69"/>
      <c r="H932" s="1"/>
    </row>
    <row r="933" spans="7:8" x14ac:dyDescent="0.25">
      <c r="G933" s="69"/>
      <c r="H933" s="1"/>
    </row>
    <row r="934" spans="7:8" x14ac:dyDescent="0.25">
      <c r="G934" s="69"/>
      <c r="H934" s="1"/>
    </row>
    <row r="935" spans="7:8" x14ac:dyDescent="0.25">
      <c r="G935" s="69"/>
      <c r="H935" s="1"/>
    </row>
    <row r="936" spans="7:8" x14ac:dyDescent="0.25">
      <c r="G936" s="69"/>
      <c r="H936" s="1"/>
    </row>
    <row r="937" spans="7:8" x14ac:dyDescent="0.25">
      <c r="G937" s="69"/>
      <c r="H937" s="1"/>
    </row>
    <row r="938" spans="7:8" x14ac:dyDescent="0.25">
      <c r="G938" s="69"/>
      <c r="H938" s="1"/>
    </row>
    <row r="939" spans="7:8" x14ac:dyDescent="0.25">
      <c r="G939" s="69"/>
      <c r="H939" s="1"/>
    </row>
    <row r="940" spans="7:8" x14ac:dyDescent="0.25">
      <c r="G940" s="69"/>
      <c r="H940" s="1"/>
    </row>
    <row r="941" spans="7:8" x14ac:dyDescent="0.25">
      <c r="G941" s="69"/>
      <c r="H941" s="1"/>
    </row>
    <row r="942" spans="7:8" x14ac:dyDescent="0.25">
      <c r="G942" s="69"/>
      <c r="H942" s="1"/>
    </row>
    <row r="943" spans="7:8" x14ac:dyDescent="0.25">
      <c r="G943" s="69"/>
      <c r="H943" s="1"/>
    </row>
    <row r="944" spans="7:8" x14ac:dyDescent="0.25">
      <c r="G944" s="69"/>
      <c r="H944" s="1"/>
    </row>
    <row r="945" spans="7:8" x14ac:dyDescent="0.25">
      <c r="G945" s="69"/>
      <c r="H945" s="1"/>
    </row>
    <row r="946" spans="7:8" x14ac:dyDescent="0.25">
      <c r="G946" s="69"/>
      <c r="H946" s="1"/>
    </row>
    <row r="947" spans="7:8" x14ac:dyDescent="0.25">
      <c r="G947" s="69"/>
      <c r="H947" s="1"/>
    </row>
    <row r="948" spans="7:8" x14ac:dyDescent="0.25">
      <c r="G948" s="69"/>
      <c r="H948" s="1"/>
    </row>
    <row r="949" spans="7:8" x14ac:dyDescent="0.25">
      <c r="G949" s="69"/>
      <c r="H949" s="1"/>
    </row>
    <row r="950" spans="7:8" x14ac:dyDescent="0.25">
      <c r="G950" s="69"/>
      <c r="H950" s="1"/>
    </row>
    <row r="951" spans="7:8" x14ac:dyDescent="0.25">
      <c r="G951" s="69"/>
      <c r="H951" s="1"/>
    </row>
    <row r="952" spans="7:8" x14ac:dyDescent="0.25">
      <c r="G952" s="69"/>
      <c r="H952" s="1"/>
    </row>
    <row r="953" spans="7:8" x14ac:dyDescent="0.25">
      <c r="G953" s="69"/>
      <c r="H953" s="1"/>
    </row>
    <row r="954" spans="7:8" x14ac:dyDescent="0.25">
      <c r="G954" s="69"/>
      <c r="H954" s="1"/>
    </row>
    <row r="955" spans="7:8" x14ac:dyDescent="0.25">
      <c r="G955" s="69"/>
      <c r="H955" s="1"/>
    </row>
    <row r="956" spans="7:8" x14ac:dyDescent="0.25">
      <c r="G956" s="69"/>
      <c r="H956" s="1"/>
    </row>
    <row r="957" spans="7:8" x14ac:dyDescent="0.25">
      <c r="G957" s="69"/>
      <c r="H957" s="1"/>
    </row>
    <row r="958" spans="7:8" x14ac:dyDescent="0.25">
      <c r="G958" s="69"/>
      <c r="H958" s="1"/>
    </row>
    <row r="959" spans="7:8" x14ac:dyDescent="0.25">
      <c r="G959" s="69"/>
      <c r="H959" s="1"/>
    </row>
    <row r="960" spans="7:8" x14ac:dyDescent="0.25">
      <c r="G960" s="69"/>
      <c r="H960" s="1"/>
    </row>
    <row r="961" spans="7:8" x14ac:dyDescent="0.25">
      <c r="G961" s="69"/>
      <c r="H961" s="1"/>
    </row>
    <row r="962" spans="7:8" x14ac:dyDescent="0.25">
      <c r="G962" s="69"/>
      <c r="H962" s="1"/>
    </row>
    <row r="963" spans="7:8" x14ac:dyDescent="0.25">
      <c r="G963" s="69"/>
      <c r="H963" s="1"/>
    </row>
    <row r="964" spans="7:8" x14ac:dyDescent="0.25">
      <c r="G964" s="69"/>
      <c r="H964" s="1"/>
    </row>
    <row r="965" spans="7:8" x14ac:dyDescent="0.25">
      <c r="G965" s="69"/>
      <c r="H965" s="1"/>
    </row>
    <row r="966" spans="7:8" x14ac:dyDescent="0.25">
      <c r="G966" s="69"/>
      <c r="H966" s="1"/>
    </row>
    <row r="967" spans="7:8" x14ac:dyDescent="0.25">
      <c r="G967" s="69"/>
      <c r="H967" s="1"/>
    </row>
    <row r="968" spans="7:8" x14ac:dyDescent="0.25">
      <c r="G968" s="69"/>
      <c r="H968" s="1"/>
    </row>
    <row r="969" spans="7:8" x14ac:dyDescent="0.25">
      <c r="G969" s="69"/>
      <c r="H969" s="1"/>
    </row>
    <row r="970" spans="7:8" x14ac:dyDescent="0.25">
      <c r="G970" s="69"/>
      <c r="H970" s="1"/>
    </row>
    <row r="971" spans="7:8" x14ac:dyDescent="0.25">
      <c r="G971" s="69"/>
      <c r="H971" s="1"/>
    </row>
    <row r="972" spans="7:8" x14ac:dyDescent="0.25">
      <c r="G972" s="69"/>
      <c r="H972" s="1"/>
    </row>
    <row r="973" spans="7:8" x14ac:dyDescent="0.25">
      <c r="G973" s="69"/>
      <c r="H973" s="1"/>
    </row>
    <row r="974" spans="7:8" x14ac:dyDescent="0.25">
      <c r="G974" s="69"/>
      <c r="H974" s="1"/>
    </row>
    <row r="975" spans="7:8" x14ac:dyDescent="0.25">
      <c r="G975" s="69"/>
      <c r="H975" s="1"/>
    </row>
    <row r="976" spans="7:8" x14ac:dyDescent="0.25">
      <c r="G976" s="69"/>
      <c r="H976" s="1"/>
    </row>
    <row r="977" spans="7:8" x14ac:dyDescent="0.25">
      <c r="G977" s="69"/>
      <c r="H977" s="1"/>
    </row>
    <row r="978" spans="7:8" x14ac:dyDescent="0.25">
      <c r="G978" s="69"/>
      <c r="H978" s="1"/>
    </row>
    <row r="979" spans="7:8" x14ac:dyDescent="0.25">
      <c r="G979" s="69"/>
      <c r="H979" s="1"/>
    </row>
    <row r="980" spans="7:8" x14ac:dyDescent="0.25">
      <c r="G980" s="69"/>
      <c r="H980" s="1"/>
    </row>
    <row r="981" spans="7:8" x14ac:dyDescent="0.25">
      <c r="G981" s="69"/>
      <c r="H981" s="1"/>
    </row>
    <row r="982" spans="7:8" x14ac:dyDescent="0.25">
      <c r="G982" s="69"/>
      <c r="H982" s="1"/>
    </row>
    <row r="983" spans="7:8" x14ac:dyDescent="0.25">
      <c r="G983" s="69"/>
      <c r="H983" s="1"/>
    </row>
    <row r="984" spans="7:8" x14ac:dyDescent="0.25">
      <c r="G984" s="69"/>
      <c r="H984" s="1"/>
    </row>
    <row r="985" spans="7:8" x14ac:dyDescent="0.25">
      <c r="G985" s="69"/>
      <c r="H985" s="1"/>
    </row>
    <row r="986" spans="7:8" x14ac:dyDescent="0.25">
      <c r="G986" s="69"/>
      <c r="H986" s="1"/>
    </row>
    <row r="987" spans="7:8" x14ac:dyDescent="0.25">
      <c r="G987" s="69"/>
      <c r="H987" s="1"/>
    </row>
    <row r="988" spans="7:8" x14ac:dyDescent="0.25">
      <c r="G988" s="69"/>
      <c r="H988" s="1"/>
    </row>
    <row r="989" spans="7:8" x14ac:dyDescent="0.25">
      <c r="G989" s="69"/>
      <c r="H989" s="1"/>
    </row>
    <row r="990" spans="7:8" x14ac:dyDescent="0.25">
      <c r="G990" s="69"/>
      <c r="H990" s="1"/>
    </row>
    <row r="991" spans="7:8" x14ac:dyDescent="0.25">
      <c r="G991" s="69"/>
      <c r="H991" s="1"/>
    </row>
    <row r="992" spans="7:8" x14ac:dyDescent="0.25">
      <c r="G992" s="69"/>
      <c r="H992" s="1"/>
    </row>
    <row r="993" spans="7:8" x14ac:dyDescent="0.25">
      <c r="G993" s="69"/>
      <c r="H993" s="1"/>
    </row>
    <row r="994" spans="7:8" x14ac:dyDescent="0.25">
      <c r="G994" s="69"/>
      <c r="H994" s="1"/>
    </row>
    <row r="995" spans="7:8" x14ac:dyDescent="0.25">
      <c r="G995" s="69"/>
      <c r="H995" s="1"/>
    </row>
    <row r="996" spans="7:8" x14ac:dyDescent="0.25">
      <c r="G996" s="69"/>
      <c r="H996" s="1"/>
    </row>
    <row r="997" spans="7:8" x14ac:dyDescent="0.25">
      <c r="G997" s="69"/>
      <c r="H997" s="1"/>
    </row>
    <row r="998" spans="7:8" x14ac:dyDescent="0.25">
      <c r="G998" s="69"/>
      <c r="H998" s="1"/>
    </row>
    <row r="999" spans="7:8" x14ac:dyDescent="0.25">
      <c r="G999" s="69"/>
      <c r="H999" s="1"/>
    </row>
    <row r="1000" spans="7:8" x14ac:dyDescent="0.25">
      <c r="G1000" s="69"/>
      <c r="H1000" s="1"/>
    </row>
    <row r="1001" spans="7:8" x14ac:dyDescent="0.25">
      <c r="G1001" s="69"/>
      <c r="H1001" s="1"/>
    </row>
    <row r="1002" spans="7:8" x14ac:dyDescent="0.25">
      <c r="G1002" s="69"/>
      <c r="H1002" s="1"/>
    </row>
    <row r="1003" spans="7:8" x14ac:dyDescent="0.25">
      <c r="G1003" s="69"/>
      <c r="H1003" s="1"/>
    </row>
    <row r="1004" spans="7:8" x14ac:dyDescent="0.25">
      <c r="G1004" s="69"/>
      <c r="H1004" s="1"/>
    </row>
    <row r="1005" spans="7:8" x14ac:dyDescent="0.25">
      <c r="G1005" s="69"/>
      <c r="H1005" s="1"/>
    </row>
    <row r="1006" spans="7:8" x14ac:dyDescent="0.25">
      <c r="G1006" s="69"/>
      <c r="H1006" s="1"/>
    </row>
    <row r="1007" spans="7:8" x14ac:dyDescent="0.25">
      <c r="G1007" s="69"/>
      <c r="H1007" s="1"/>
    </row>
    <row r="1008" spans="7:8" x14ac:dyDescent="0.25">
      <c r="G1008" s="69"/>
      <c r="H1008" s="1"/>
    </row>
    <row r="1009" spans="7:8" x14ac:dyDescent="0.25">
      <c r="G1009" s="69"/>
      <c r="H1009" s="1"/>
    </row>
    <row r="1010" spans="7:8" x14ac:dyDescent="0.25">
      <c r="G1010" s="69"/>
      <c r="H1010" s="1"/>
    </row>
    <row r="1011" spans="7:8" x14ac:dyDescent="0.25">
      <c r="G1011" s="69"/>
      <c r="H1011" s="1"/>
    </row>
    <row r="1012" spans="7:8" x14ac:dyDescent="0.25">
      <c r="G1012" s="69"/>
      <c r="H1012" s="1"/>
    </row>
    <row r="1013" spans="7:8" x14ac:dyDescent="0.25">
      <c r="G1013" s="69"/>
      <c r="H1013" s="1"/>
    </row>
    <row r="1014" spans="7:8" x14ac:dyDescent="0.25">
      <c r="G1014" s="69"/>
      <c r="H1014" s="1"/>
    </row>
    <row r="1015" spans="7:8" x14ac:dyDescent="0.25">
      <c r="G1015" s="69"/>
      <c r="H1015" s="1"/>
    </row>
    <row r="1016" spans="7:8" x14ac:dyDescent="0.25">
      <c r="G1016" s="69"/>
      <c r="H1016" s="1"/>
    </row>
    <row r="1017" spans="7:8" x14ac:dyDescent="0.25">
      <c r="G1017" s="69"/>
      <c r="H1017" s="1"/>
    </row>
    <row r="1018" spans="7:8" x14ac:dyDescent="0.25">
      <c r="G1018" s="69"/>
      <c r="H1018" s="1"/>
    </row>
    <row r="1019" spans="7:8" x14ac:dyDescent="0.25">
      <c r="G1019" s="69"/>
      <c r="H1019" s="1"/>
    </row>
    <row r="1020" spans="7:8" x14ac:dyDescent="0.25">
      <c r="G1020" s="69"/>
      <c r="H1020" s="1"/>
    </row>
    <row r="1021" spans="7:8" x14ac:dyDescent="0.25">
      <c r="G1021" s="69"/>
      <c r="H1021" s="1"/>
    </row>
    <row r="1022" spans="7:8" x14ac:dyDescent="0.25">
      <c r="G1022" s="69"/>
      <c r="H1022" s="1"/>
    </row>
    <row r="1023" spans="7:8" x14ac:dyDescent="0.25">
      <c r="G1023" s="69"/>
      <c r="H1023" s="1"/>
    </row>
    <row r="1024" spans="7:8" x14ac:dyDescent="0.25">
      <c r="G1024" s="69"/>
      <c r="H1024" s="1"/>
    </row>
    <row r="1025" spans="7:8" x14ac:dyDescent="0.25">
      <c r="G1025" s="69"/>
      <c r="H1025" s="1"/>
    </row>
    <row r="1026" spans="7:8" x14ac:dyDescent="0.25">
      <c r="G1026" s="69"/>
      <c r="H1026" s="1"/>
    </row>
    <row r="1027" spans="7:8" x14ac:dyDescent="0.25">
      <c r="G1027" s="69"/>
      <c r="H1027" s="1"/>
    </row>
    <row r="1028" spans="7:8" x14ac:dyDescent="0.25">
      <c r="G1028" s="69"/>
      <c r="H1028" s="1"/>
    </row>
    <row r="1029" spans="7:8" x14ac:dyDescent="0.25">
      <c r="G1029" s="69"/>
      <c r="H1029" s="1"/>
    </row>
    <row r="1030" spans="7:8" x14ac:dyDescent="0.25">
      <c r="G1030" s="69"/>
      <c r="H1030" s="1"/>
    </row>
    <row r="1031" spans="7:8" x14ac:dyDescent="0.25">
      <c r="G1031" s="69"/>
      <c r="H1031" s="1"/>
    </row>
    <row r="1032" spans="7:8" x14ac:dyDescent="0.25">
      <c r="G1032" s="69"/>
      <c r="H1032" s="1"/>
    </row>
    <row r="1033" spans="7:8" x14ac:dyDescent="0.25">
      <c r="G1033" s="69"/>
      <c r="H1033" s="1"/>
    </row>
    <row r="1034" spans="7:8" x14ac:dyDescent="0.25">
      <c r="G1034" s="69"/>
      <c r="H1034" s="1"/>
    </row>
    <row r="1035" spans="7:8" x14ac:dyDescent="0.25">
      <c r="G1035" s="69"/>
      <c r="H1035" s="1"/>
    </row>
    <row r="1036" spans="7:8" x14ac:dyDescent="0.25">
      <c r="G1036" s="69"/>
      <c r="H1036" s="1"/>
    </row>
    <row r="1037" spans="7:8" x14ac:dyDescent="0.25">
      <c r="G1037" s="69"/>
      <c r="H1037" s="1"/>
    </row>
    <row r="1038" spans="7:8" x14ac:dyDescent="0.25">
      <c r="H1038" s="1"/>
    </row>
    <row r="1039" spans="7:8" x14ac:dyDescent="0.25">
      <c r="H1039" s="1"/>
    </row>
    <row r="1040" spans="7:8" x14ac:dyDescent="0.25">
      <c r="H1040" s="1"/>
    </row>
    <row r="1041" spans="8:8" x14ac:dyDescent="0.25">
      <c r="H1041" s="1"/>
    </row>
    <row r="1042" spans="8:8" x14ac:dyDescent="0.25">
      <c r="H1042" s="1"/>
    </row>
    <row r="1043" spans="8:8" x14ac:dyDescent="0.25">
      <c r="H1043" s="1"/>
    </row>
    <row r="1044" spans="8:8" x14ac:dyDescent="0.25">
      <c r="H1044" s="1"/>
    </row>
    <row r="1045" spans="8:8" x14ac:dyDescent="0.25">
      <c r="H1045" s="1"/>
    </row>
    <row r="1046" spans="8:8" x14ac:dyDescent="0.25">
      <c r="H1046" s="1"/>
    </row>
    <row r="1047" spans="8:8" x14ac:dyDescent="0.25">
      <c r="H1047" s="1"/>
    </row>
    <row r="1048" spans="8:8" x14ac:dyDescent="0.25">
      <c r="H1048" s="1"/>
    </row>
    <row r="1049" spans="8:8" x14ac:dyDescent="0.25">
      <c r="H1049" s="1"/>
    </row>
    <row r="1050" spans="8:8" x14ac:dyDescent="0.25">
      <c r="H1050" s="1"/>
    </row>
    <row r="1051" spans="8:8" x14ac:dyDescent="0.25">
      <c r="H1051" s="1"/>
    </row>
    <row r="1052" spans="8:8" x14ac:dyDescent="0.25">
      <c r="H1052" s="1"/>
    </row>
    <row r="1053" spans="8:8" x14ac:dyDescent="0.25">
      <c r="H1053" s="1"/>
    </row>
    <row r="1054" spans="8:8" x14ac:dyDescent="0.25">
      <c r="H1054" s="1"/>
    </row>
    <row r="1055" spans="8:8" x14ac:dyDescent="0.25">
      <c r="H1055" s="1"/>
    </row>
    <row r="1056" spans="8:8" x14ac:dyDescent="0.25">
      <c r="H1056" s="1"/>
    </row>
    <row r="1057" spans="8:8" x14ac:dyDescent="0.25">
      <c r="H1057" s="1"/>
    </row>
    <row r="1058" spans="8:8" x14ac:dyDescent="0.25">
      <c r="H1058" s="1"/>
    </row>
    <row r="1059" spans="8:8" x14ac:dyDescent="0.25">
      <c r="H1059" s="1"/>
    </row>
    <row r="1060" spans="8:8" x14ac:dyDescent="0.25">
      <c r="H1060" s="1"/>
    </row>
    <row r="1061" spans="8:8" x14ac:dyDescent="0.25">
      <c r="H1061" s="1"/>
    </row>
    <row r="1062" spans="8:8" x14ac:dyDescent="0.25">
      <c r="H1062" s="1"/>
    </row>
    <row r="1063" spans="8:8" x14ac:dyDescent="0.25">
      <c r="H1063" s="1"/>
    </row>
    <row r="1064" spans="8:8" x14ac:dyDescent="0.25">
      <c r="H1064" s="1"/>
    </row>
    <row r="1065" spans="8:8" x14ac:dyDescent="0.25">
      <c r="H1065" s="1"/>
    </row>
    <row r="1066" spans="8:8" x14ac:dyDescent="0.25">
      <c r="H1066" s="1"/>
    </row>
    <row r="1067" spans="8:8" x14ac:dyDescent="0.25">
      <c r="H1067" s="1"/>
    </row>
    <row r="1068" spans="8:8" x14ac:dyDescent="0.25">
      <c r="H1068" s="1"/>
    </row>
    <row r="1069" spans="8:8" x14ac:dyDescent="0.25">
      <c r="H1069" s="1"/>
    </row>
    <row r="1070" spans="8:8" x14ac:dyDescent="0.25">
      <c r="H1070" s="1"/>
    </row>
    <row r="1071" spans="8:8" x14ac:dyDescent="0.25">
      <c r="H1071" s="1"/>
    </row>
    <row r="1072" spans="8:8" x14ac:dyDescent="0.25">
      <c r="H1072" s="1"/>
    </row>
    <row r="1073" spans="8:8" x14ac:dyDescent="0.25">
      <c r="H1073" s="1"/>
    </row>
    <row r="1074" spans="8:8" x14ac:dyDescent="0.25">
      <c r="H1074" s="1"/>
    </row>
    <row r="1075" spans="8:8" x14ac:dyDescent="0.25">
      <c r="H1075" s="1"/>
    </row>
    <row r="1076" spans="8:8" x14ac:dyDescent="0.25">
      <c r="H1076" s="1"/>
    </row>
    <row r="1077" spans="8:8" x14ac:dyDescent="0.25">
      <c r="H1077" s="1"/>
    </row>
    <row r="1078" spans="8:8" x14ac:dyDescent="0.25">
      <c r="H1078" s="1"/>
    </row>
    <row r="1079" spans="8:8" x14ac:dyDescent="0.25">
      <c r="H1079" s="1"/>
    </row>
    <row r="1080" spans="8:8" x14ac:dyDescent="0.25">
      <c r="H1080" s="1"/>
    </row>
    <row r="1081" spans="8:8" x14ac:dyDescent="0.25">
      <c r="H1081" s="1"/>
    </row>
    <row r="1082" spans="8:8" x14ac:dyDescent="0.25">
      <c r="H1082" s="1"/>
    </row>
    <row r="1083" spans="8:8" x14ac:dyDescent="0.25">
      <c r="H1083" s="1"/>
    </row>
    <row r="1084" spans="8:8" x14ac:dyDescent="0.25">
      <c r="H1084" s="1"/>
    </row>
    <row r="1085" spans="8:8" x14ac:dyDescent="0.25">
      <c r="H1085" s="1"/>
    </row>
    <row r="1086" spans="8:8" x14ac:dyDescent="0.25">
      <c r="H1086" s="1"/>
    </row>
    <row r="1087" spans="8:8" x14ac:dyDescent="0.25">
      <c r="H1087" s="1"/>
    </row>
    <row r="1088" spans="8:8" x14ac:dyDescent="0.25">
      <c r="H1088" s="1"/>
    </row>
    <row r="1089" spans="8:8" x14ac:dyDescent="0.25">
      <c r="H1089" s="1"/>
    </row>
    <row r="1090" spans="8:8" x14ac:dyDescent="0.25">
      <c r="H1090" s="1"/>
    </row>
    <row r="1091" spans="8:8" x14ac:dyDescent="0.25">
      <c r="H1091" s="1"/>
    </row>
    <row r="1092" spans="8:8" x14ac:dyDescent="0.25">
      <c r="H1092" s="1"/>
    </row>
    <row r="1093" spans="8:8" x14ac:dyDescent="0.25">
      <c r="H1093" s="1"/>
    </row>
    <row r="1094" spans="8:8" x14ac:dyDescent="0.25">
      <c r="H1094" s="1"/>
    </row>
    <row r="1095" spans="8:8" x14ac:dyDescent="0.25">
      <c r="H1095" s="1"/>
    </row>
    <row r="1096" spans="8:8" x14ac:dyDescent="0.25">
      <c r="H1096" s="1"/>
    </row>
    <row r="1097" spans="8:8" x14ac:dyDescent="0.25">
      <c r="H1097" s="1"/>
    </row>
    <row r="1098" spans="8:8" x14ac:dyDescent="0.25">
      <c r="H1098" s="1"/>
    </row>
    <row r="1099" spans="8:8" x14ac:dyDescent="0.25">
      <c r="H1099" s="1"/>
    </row>
    <row r="1100" spans="8:8" x14ac:dyDescent="0.25">
      <c r="H1100" s="1"/>
    </row>
    <row r="1101" spans="8:8" x14ac:dyDescent="0.25">
      <c r="H1101" s="1"/>
    </row>
    <row r="1102" spans="8:8" x14ac:dyDescent="0.25">
      <c r="H1102" s="1"/>
    </row>
    <row r="1103" spans="8:8" x14ac:dyDescent="0.25">
      <c r="H1103" s="1"/>
    </row>
    <row r="1104" spans="8:8" x14ac:dyDescent="0.25">
      <c r="H1104" s="1"/>
    </row>
    <row r="1105" spans="8:8" x14ac:dyDescent="0.25">
      <c r="H1105" s="1"/>
    </row>
    <row r="1106" spans="8:8" x14ac:dyDescent="0.25">
      <c r="H1106" s="1"/>
    </row>
    <row r="1107" spans="8:8" x14ac:dyDescent="0.25">
      <c r="H1107" s="1"/>
    </row>
    <row r="1108" spans="8:8" x14ac:dyDescent="0.25">
      <c r="H1108" s="1"/>
    </row>
    <row r="1109" spans="8:8" x14ac:dyDescent="0.25">
      <c r="H1109" s="1"/>
    </row>
    <row r="1110" spans="8:8" x14ac:dyDescent="0.25">
      <c r="H1110" s="1"/>
    </row>
    <row r="1111" spans="8:8" x14ac:dyDescent="0.25">
      <c r="H1111" s="1"/>
    </row>
    <row r="1112" spans="8:8" x14ac:dyDescent="0.25">
      <c r="H1112" s="1"/>
    </row>
    <row r="1113" spans="8:8" x14ac:dyDescent="0.25">
      <c r="H1113" s="1"/>
    </row>
    <row r="1114" spans="8:8" x14ac:dyDescent="0.25">
      <c r="H1114" s="1"/>
    </row>
    <row r="1115" spans="8:8" x14ac:dyDescent="0.25">
      <c r="H1115" s="1"/>
    </row>
    <row r="1116" spans="8:8" x14ac:dyDescent="0.25">
      <c r="H1116" s="1"/>
    </row>
    <row r="1117" spans="8:8" x14ac:dyDescent="0.25">
      <c r="H1117" s="1"/>
    </row>
    <row r="1118" spans="8:8" x14ac:dyDescent="0.25">
      <c r="H1118" s="1"/>
    </row>
    <row r="1119" spans="8:8" x14ac:dyDescent="0.25">
      <c r="H1119" s="1"/>
    </row>
    <row r="1120" spans="8:8" x14ac:dyDescent="0.25">
      <c r="H1120" s="1"/>
    </row>
    <row r="1121" spans="8:8" x14ac:dyDescent="0.25">
      <c r="H1121" s="1"/>
    </row>
    <row r="1122" spans="8:8" x14ac:dyDescent="0.25">
      <c r="H1122" s="1"/>
    </row>
    <row r="1123" spans="8:8" x14ac:dyDescent="0.25">
      <c r="H1123" s="1"/>
    </row>
    <row r="1124" spans="8:8" x14ac:dyDescent="0.25">
      <c r="H1124" s="1"/>
    </row>
    <row r="1125" spans="8:8" x14ac:dyDescent="0.25">
      <c r="H1125" s="1"/>
    </row>
    <row r="1126" spans="8:8" x14ac:dyDescent="0.25">
      <c r="H1126" s="1"/>
    </row>
    <row r="1127" spans="8:8" x14ac:dyDescent="0.25">
      <c r="H1127" s="1"/>
    </row>
    <row r="1128" spans="8:8" x14ac:dyDescent="0.25">
      <c r="H1128" s="1"/>
    </row>
    <row r="1129" spans="8:8" x14ac:dyDescent="0.25">
      <c r="H1129" s="1"/>
    </row>
    <row r="1130" spans="8:8" x14ac:dyDescent="0.25">
      <c r="H1130" s="1"/>
    </row>
    <row r="1131" spans="8:8" x14ac:dyDescent="0.25">
      <c r="H1131" s="1"/>
    </row>
    <row r="1132" spans="8:8" x14ac:dyDescent="0.25">
      <c r="H1132" s="1"/>
    </row>
    <row r="1133" spans="8:8" x14ac:dyDescent="0.25">
      <c r="H1133" s="1"/>
    </row>
    <row r="1134" spans="8:8" x14ac:dyDescent="0.25">
      <c r="H1134" s="1"/>
    </row>
    <row r="1135" spans="8:8" x14ac:dyDescent="0.25">
      <c r="H1135" s="1"/>
    </row>
    <row r="1136" spans="8:8" x14ac:dyDescent="0.25">
      <c r="H1136" s="1"/>
    </row>
    <row r="1137" spans="8:8" x14ac:dyDescent="0.25">
      <c r="H1137" s="1"/>
    </row>
    <row r="1138" spans="8:8" x14ac:dyDescent="0.25">
      <c r="H1138" s="1"/>
    </row>
    <row r="1139" spans="8:8" x14ac:dyDescent="0.25">
      <c r="H1139" s="1"/>
    </row>
    <row r="1140" spans="8:8" x14ac:dyDescent="0.25">
      <c r="H1140" s="1"/>
    </row>
    <row r="1141" spans="8:8" x14ac:dyDescent="0.25">
      <c r="H1141" s="1"/>
    </row>
    <row r="1142" spans="8:8" x14ac:dyDescent="0.25">
      <c r="H1142" s="1"/>
    </row>
    <row r="1143" spans="8:8" x14ac:dyDescent="0.25">
      <c r="H1143" s="1"/>
    </row>
    <row r="1144" spans="8:8" x14ac:dyDescent="0.25">
      <c r="H1144" s="1"/>
    </row>
    <row r="1145" spans="8:8" x14ac:dyDescent="0.25">
      <c r="H1145" s="1"/>
    </row>
    <row r="1146" spans="8:8" x14ac:dyDescent="0.25">
      <c r="H1146" s="1"/>
    </row>
    <row r="1147" spans="8:8" x14ac:dyDescent="0.25">
      <c r="H1147" s="1"/>
    </row>
    <row r="1148" spans="8:8" x14ac:dyDescent="0.25">
      <c r="H1148" s="1"/>
    </row>
    <row r="1149" spans="8:8" x14ac:dyDescent="0.25">
      <c r="H1149" s="1"/>
    </row>
    <row r="1150" spans="8:8" x14ac:dyDescent="0.25">
      <c r="H1150" s="1"/>
    </row>
    <row r="1151" spans="8:8" x14ac:dyDescent="0.25">
      <c r="H1151" s="1"/>
    </row>
    <row r="1152" spans="8:8" x14ac:dyDescent="0.25">
      <c r="H1152" s="1"/>
    </row>
    <row r="1153" spans="8:8" x14ac:dyDescent="0.25">
      <c r="H1153" s="1"/>
    </row>
    <row r="1154" spans="8:8" x14ac:dyDescent="0.25">
      <c r="H1154" s="1"/>
    </row>
    <row r="1155" spans="8:8" x14ac:dyDescent="0.25">
      <c r="H1155" s="1"/>
    </row>
    <row r="1156" spans="8:8" x14ac:dyDescent="0.25">
      <c r="H1156" s="1"/>
    </row>
    <row r="1157" spans="8:8" x14ac:dyDescent="0.25">
      <c r="H1157" s="1"/>
    </row>
    <row r="1158" spans="8:8" x14ac:dyDescent="0.25">
      <c r="H1158" s="1"/>
    </row>
    <row r="1159" spans="8:8" x14ac:dyDescent="0.25">
      <c r="H1159" s="1"/>
    </row>
    <row r="1160" spans="8:8" x14ac:dyDescent="0.25">
      <c r="H1160" s="1"/>
    </row>
    <row r="1161" spans="8:8" x14ac:dyDescent="0.25">
      <c r="H1161" s="1"/>
    </row>
    <row r="1162" spans="8:8" x14ac:dyDescent="0.25">
      <c r="H1162" s="1"/>
    </row>
    <row r="1163" spans="8:8" x14ac:dyDescent="0.25">
      <c r="H1163" s="1"/>
    </row>
    <row r="1164" spans="8:8" x14ac:dyDescent="0.25">
      <c r="H1164" s="1"/>
    </row>
    <row r="1165" spans="8:8" x14ac:dyDescent="0.25">
      <c r="H1165" s="1"/>
    </row>
    <row r="1166" spans="8:8" x14ac:dyDescent="0.25">
      <c r="H1166" s="1"/>
    </row>
    <row r="1167" spans="8:8" x14ac:dyDescent="0.25">
      <c r="H1167" s="1"/>
    </row>
    <row r="1168" spans="8:8" x14ac:dyDescent="0.25">
      <c r="H1168" s="1"/>
    </row>
    <row r="1169" spans="8:8" x14ac:dyDescent="0.25">
      <c r="H1169" s="1"/>
    </row>
    <row r="1170" spans="8:8" x14ac:dyDescent="0.25">
      <c r="H1170" s="1"/>
    </row>
    <row r="1171" spans="8:8" x14ac:dyDescent="0.25">
      <c r="H1171" s="1"/>
    </row>
    <row r="1172" spans="8:8" x14ac:dyDescent="0.25">
      <c r="H1172" s="1"/>
    </row>
    <row r="1173" spans="8:8" x14ac:dyDescent="0.25">
      <c r="H1173" s="1"/>
    </row>
    <row r="1174" spans="8:8" x14ac:dyDescent="0.25">
      <c r="H1174" s="1"/>
    </row>
    <row r="1175" spans="8:8" x14ac:dyDescent="0.25">
      <c r="H1175" s="1"/>
    </row>
    <row r="1176" spans="8:8" x14ac:dyDescent="0.25">
      <c r="H1176" s="1"/>
    </row>
    <row r="1177" spans="8:8" x14ac:dyDescent="0.25">
      <c r="H1177" s="1"/>
    </row>
    <row r="1178" spans="8:8" x14ac:dyDescent="0.25">
      <c r="H1178" s="1"/>
    </row>
    <row r="1179" spans="8:8" x14ac:dyDescent="0.25">
      <c r="H1179" s="1"/>
    </row>
    <row r="1180" spans="8:8" x14ac:dyDescent="0.25">
      <c r="H1180" s="1"/>
    </row>
    <row r="1181" spans="8:8" x14ac:dyDescent="0.25">
      <c r="H1181" s="1"/>
    </row>
    <row r="1182" spans="8:8" x14ac:dyDescent="0.25">
      <c r="H1182" s="1"/>
    </row>
    <row r="1183" spans="8:8" x14ac:dyDescent="0.25">
      <c r="H1183" s="1"/>
    </row>
    <row r="1184" spans="8:8" x14ac:dyDescent="0.25">
      <c r="H1184" s="1"/>
    </row>
    <row r="1185" spans="8:8" x14ac:dyDescent="0.25">
      <c r="H1185" s="1"/>
    </row>
    <row r="1186" spans="8:8" x14ac:dyDescent="0.25">
      <c r="H1186" s="1"/>
    </row>
    <row r="1187" spans="8:8" x14ac:dyDescent="0.25">
      <c r="H1187" s="1"/>
    </row>
    <row r="1188" spans="8:8" x14ac:dyDescent="0.25">
      <c r="H1188" s="1"/>
    </row>
    <row r="1189" spans="8:8" x14ac:dyDescent="0.25">
      <c r="H1189" s="1"/>
    </row>
    <row r="1190" spans="8:8" x14ac:dyDescent="0.25">
      <c r="H1190" s="1"/>
    </row>
    <row r="1191" spans="8:8" x14ac:dyDescent="0.25">
      <c r="H1191" s="1"/>
    </row>
    <row r="1192" spans="8:8" x14ac:dyDescent="0.25">
      <c r="H1192" s="1"/>
    </row>
    <row r="1193" spans="8:8" x14ac:dyDescent="0.25">
      <c r="H1193" s="1"/>
    </row>
    <row r="1194" spans="8:8" x14ac:dyDescent="0.25">
      <c r="H1194" s="1"/>
    </row>
    <row r="1195" spans="8:8" x14ac:dyDescent="0.25">
      <c r="H1195" s="1"/>
    </row>
    <row r="1196" spans="8:8" x14ac:dyDescent="0.25">
      <c r="H1196" s="1"/>
    </row>
    <row r="1197" spans="8:8" x14ac:dyDescent="0.25">
      <c r="H1197" s="1"/>
    </row>
    <row r="1198" spans="8:8" x14ac:dyDescent="0.25">
      <c r="H1198" s="1"/>
    </row>
    <row r="1199" spans="8:8" x14ac:dyDescent="0.25">
      <c r="H1199" s="1"/>
    </row>
    <row r="1200" spans="8:8" x14ac:dyDescent="0.25">
      <c r="H1200" s="1"/>
    </row>
    <row r="1201" spans="8:8" x14ac:dyDescent="0.25">
      <c r="H1201" s="1"/>
    </row>
    <row r="1202" spans="8:8" x14ac:dyDescent="0.25">
      <c r="H1202" s="1"/>
    </row>
    <row r="1203" spans="8:8" x14ac:dyDescent="0.25">
      <c r="H1203" s="1"/>
    </row>
    <row r="1204" spans="8:8" x14ac:dyDescent="0.25">
      <c r="H1204" s="1"/>
    </row>
    <row r="1205" spans="8:8" x14ac:dyDescent="0.25">
      <c r="H1205" s="1"/>
    </row>
    <row r="1206" spans="8:8" x14ac:dyDescent="0.25">
      <c r="H1206" s="1"/>
    </row>
    <row r="1207" spans="8:8" x14ac:dyDescent="0.25">
      <c r="H1207" s="1"/>
    </row>
    <row r="1208" spans="8:8" x14ac:dyDescent="0.25">
      <c r="H1208" s="1"/>
    </row>
    <row r="1209" spans="8:8" x14ac:dyDescent="0.25">
      <c r="H1209" s="1"/>
    </row>
    <row r="1210" spans="8:8" x14ac:dyDescent="0.25">
      <c r="H1210" s="1"/>
    </row>
    <row r="1211" spans="8:8" x14ac:dyDescent="0.25">
      <c r="H1211" s="1"/>
    </row>
    <row r="1212" spans="8:8" x14ac:dyDescent="0.25">
      <c r="H1212" s="1"/>
    </row>
    <row r="1213" spans="8:8" x14ac:dyDescent="0.25">
      <c r="H1213" s="1"/>
    </row>
    <row r="1214" spans="8:8" x14ac:dyDescent="0.25">
      <c r="H1214" s="1"/>
    </row>
    <row r="1215" spans="8:8" x14ac:dyDescent="0.25">
      <c r="H1215" s="1"/>
    </row>
    <row r="1216" spans="8:8" x14ac:dyDescent="0.25">
      <c r="H1216" s="1"/>
    </row>
    <row r="1217" spans="8:8" x14ac:dyDescent="0.25">
      <c r="H1217" s="1"/>
    </row>
    <row r="1218" spans="8:8" x14ac:dyDescent="0.25">
      <c r="H1218" s="1"/>
    </row>
    <row r="1219" spans="8:8" x14ac:dyDescent="0.25">
      <c r="H1219" s="1"/>
    </row>
    <row r="1220" spans="8:8" x14ac:dyDescent="0.25">
      <c r="H1220" s="1"/>
    </row>
    <row r="1221" spans="8:8" x14ac:dyDescent="0.25">
      <c r="H1221" s="1"/>
    </row>
    <row r="1222" spans="8:8" x14ac:dyDescent="0.25">
      <c r="H1222" s="1"/>
    </row>
    <row r="1223" spans="8:8" x14ac:dyDescent="0.25">
      <c r="H1223" s="1"/>
    </row>
    <row r="1224" spans="8:8" x14ac:dyDescent="0.25">
      <c r="H1224" s="1"/>
    </row>
    <row r="1225" spans="8:8" x14ac:dyDescent="0.25">
      <c r="H1225" s="1"/>
    </row>
    <row r="1226" spans="8:8" x14ac:dyDescent="0.25">
      <c r="H1226" s="1"/>
    </row>
    <row r="1227" spans="8:8" x14ac:dyDescent="0.25">
      <c r="H1227" s="1"/>
    </row>
    <row r="1228" spans="8:8" x14ac:dyDescent="0.25">
      <c r="H1228" s="1"/>
    </row>
    <row r="1229" spans="8:8" x14ac:dyDescent="0.25">
      <c r="H1229" s="1"/>
    </row>
    <row r="1230" spans="8:8" x14ac:dyDescent="0.25">
      <c r="H1230" s="1"/>
    </row>
    <row r="1231" spans="8:8" x14ac:dyDescent="0.25">
      <c r="H1231" s="1"/>
    </row>
    <row r="1232" spans="8:8" x14ac:dyDescent="0.25">
      <c r="H1232" s="1"/>
    </row>
    <row r="1233" spans="8:8" x14ac:dyDescent="0.25">
      <c r="H1233" s="1"/>
    </row>
    <row r="1234" spans="8:8" x14ac:dyDescent="0.25">
      <c r="H1234" s="1"/>
    </row>
    <row r="1235" spans="8:8" x14ac:dyDescent="0.25">
      <c r="H1235" s="1"/>
    </row>
    <row r="1236" spans="8:8" x14ac:dyDescent="0.25">
      <c r="H1236" s="1"/>
    </row>
    <row r="1237" spans="8:8" x14ac:dyDescent="0.25">
      <c r="H1237" s="1"/>
    </row>
    <row r="1238" spans="8:8" x14ac:dyDescent="0.25">
      <c r="H1238" s="1"/>
    </row>
    <row r="1239" spans="8:8" x14ac:dyDescent="0.25">
      <c r="H1239" s="1"/>
    </row>
    <row r="1240" spans="8:8" x14ac:dyDescent="0.25">
      <c r="H1240" s="1"/>
    </row>
    <row r="1241" spans="8:8" x14ac:dyDescent="0.25">
      <c r="H1241" s="1"/>
    </row>
    <row r="1242" spans="8:8" x14ac:dyDescent="0.25">
      <c r="H1242" s="1"/>
    </row>
    <row r="1243" spans="8:8" x14ac:dyDescent="0.25">
      <c r="H1243" s="1"/>
    </row>
    <row r="1244" spans="8:8" x14ac:dyDescent="0.25">
      <c r="H1244" s="1"/>
    </row>
    <row r="1245" spans="8:8" x14ac:dyDescent="0.25">
      <c r="H1245" s="1"/>
    </row>
    <row r="1246" spans="8:8" x14ac:dyDescent="0.25">
      <c r="H1246" s="1"/>
    </row>
    <row r="1247" spans="8:8" x14ac:dyDescent="0.25">
      <c r="H1247" s="1"/>
    </row>
    <row r="1248" spans="8:8" x14ac:dyDescent="0.25">
      <c r="H1248" s="1"/>
    </row>
    <row r="1249" spans="8:8" x14ac:dyDescent="0.25">
      <c r="H1249" s="1"/>
    </row>
    <row r="1250" spans="8:8" x14ac:dyDescent="0.25">
      <c r="H1250" s="1"/>
    </row>
    <row r="1251" spans="8:8" x14ac:dyDescent="0.25">
      <c r="H1251" s="1"/>
    </row>
    <row r="1252" spans="8:8" x14ac:dyDescent="0.25">
      <c r="H1252" s="1"/>
    </row>
    <row r="1253" spans="8:8" x14ac:dyDescent="0.25">
      <c r="H1253" s="1"/>
    </row>
    <row r="1254" spans="8:8" x14ac:dyDescent="0.25">
      <c r="H1254" s="1"/>
    </row>
    <row r="1255" spans="8:8" x14ac:dyDescent="0.25">
      <c r="H1255" s="1"/>
    </row>
    <row r="1256" spans="8:8" x14ac:dyDescent="0.25">
      <c r="H1256" s="1"/>
    </row>
    <row r="1257" spans="8:8" x14ac:dyDescent="0.25">
      <c r="H1257" s="1"/>
    </row>
    <row r="1258" spans="8:8" x14ac:dyDescent="0.25">
      <c r="H1258" s="1"/>
    </row>
    <row r="1259" spans="8:8" x14ac:dyDescent="0.25">
      <c r="H1259" s="1"/>
    </row>
    <row r="1260" spans="8:8" x14ac:dyDescent="0.25">
      <c r="H1260" s="1"/>
    </row>
    <row r="1261" spans="8:8" x14ac:dyDescent="0.25">
      <c r="H1261" s="1"/>
    </row>
    <row r="1262" spans="8:8" x14ac:dyDescent="0.25">
      <c r="H1262" s="1"/>
    </row>
    <row r="1263" spans="8:8" x14ac:dyDescent="0.25">
      <c r="H1263" s="1"/>
    </row>
    <row r="1264" spans="8:8" x14ac:dyDescent="0.25">
      <c r="H1264" s="1"/>
    </row>
    <row r="1265" spans="8:8" x14ac:dyDescent="0.25">
      <c r="H1265" s="1"/>
    </row>
    <row r="1266" spans="8:8" x14ac:dyDescent="0.25">
      <c r="H1266" s="1"/>
    </row>
    <row r="1267" spans="8:8" x14ac:dyDescent="0.25">
      <c r="H1267" s="1"/>
    </row>
    <row r="1268" spans="8:8" x14ac:dyDescent="0.25">
      <c r="H1268" s="1"/>
    </row>
    <row r="1269" spans="8:8" x14ac:dyDescent="0.25">
      <c r="H1269" s="1"/>
    </row>
    <row r="1270" spans="8:8" x14ac:dyDescent="0.25">
      <c r="H1270" s="1"/>
    </row>
    <row r="1271" spans="8:8" x14ac:dyDescent="0.25">
      <c r="H1271" s="1"/>
    </row>
    <row r="1272" spans="8:8" x14ac:dyDescent="0.25">
      <c r="H1272" s="1"/>
    </row>
    <row r="1273" spans="8:8" x14ac:dyDescent="0.25">
      <c r="H1273" s="1"/>
    </row>
    <row r="1274" spans="8:8" x14ac:dyDescent="0.25">
      <c r="H1274" s="1"/>
    </row>
    <row r="1275" spans="8:8" x14ac:dyDescent="0.25">
      <c r="H1275" s="1"/>
    </row>
    <row r="1276" spans="8:8" x14ac:dyDescent="0.25">
      <c r="H1276" s="1"/>
    </row>
    <row r="1277" spans="8:8" x14ac:dyDescent="0.25">
      <c r="H1277" s="1"/>
    </row>
    <row r="1278" spans="8:8" x14ac:dyDescent="0.25">
      <c r="H1278" s="1"/>
    </row>
    <row r="1279" spans="8:8" x14ac:dyDescent="0.25">
      <c r="H1279" s="1"/>
    </row>
    <row r="1280" spans="8:8" x14ac:dyDescent="0.25">
      <c r="H1280" s="1"/>
    </row>
    <row r="1281" spans="8:8" x14ac:dyDescent="0.25">
      <c r="H1281" s="1"/>
    </row>
    <row r="1282" spans="8:8" x14ac:dyDescent="0.25">
      <c r="H1282" s="1"/>
    </row>
    <row r="1283" spans="8:8" x14ac:dyDescent="0.25">
      <c r="H1283" s="1"/>
    </row>
    <row r="1284" spans="8:8" x14ac:dyDescent="0.25">
      <c r="H1284" s="1"/>
    </row>
    <row r="1285" spans="8:8" x14ac:dyDescent="0.25">
      <c r="H1285" s="1"/>
    </row>
    <row r="1286" spans="8:8" x14ac:dyDescent="0.25">
      <c r="H1286" s="1"/>
    </row>
    <row r="1287" spans="8:8" x14ac:dyDescent="0.25">
      <c r="H1287" s="1"/>
    </row>
    <row r="1288" spans="8:8" x14ac:dyDescent="0.25">
      <c r="H1288" s="1"/>
    </row>
    <row r="1289" spans="8:8" x14ac:dyDescent="0.25">
      <c r="H1289" s="1"/>
    </row>
    <row r="1290" spans="8:8" x14ac:dyDescent="0.25">
      <c r="H1290" s="1"/>
    </row>
    <row r="1291" spans="8:8" x14ac:dyDescent="0.25">
      <c r="H1291" s="1"/>
    </row>
    <row r="1292" spans="8:8" x14ac:dyDescent="0.25">
      <c r="H1292" s="1"/>
    </row>
    <row r="1293" spans="8:8" x14ac:dyDescent="0.25">
      <c r="H1293" s="1"/>
    </row>
    <row r="1294" spans="8:8" x14ac:dyDescent="0.25">
      <c r="H1294" s="1"/>
    </row>
    <row r="1295" spans="8:8" x14ac:dyDescent="0.25">
      <c r="H1295" s="1"/>
    </row>
    <row r="1296" spans="8:8" x14ac:dyDescent="0.25">
      <c r="H1296" s="1"/>
    </row>
    <row r="1297" spans="8:8" x14ac:dyDescent="0.25">
      <c r="H1297" s="1"/>
    </row>
    <row r="1298" spans="8:8" x14ac:dyDescent="0.25">
      <c r="H1298" s="1"/>
    </row>
    <row r="1299" spans="8:8" x14ac:dyDescent="0.25">
      <c r="H1299" s="1"/>
    </row>
    <row r="1300" spans="8:8" x14ac:dyDescent="0.25">
      <c r="H1300" s="1"/>
    </row>
    <row r="1301" spans="8:8" x14ac:dyDescent="0.25">
      <c r="H1301" s="1"/>
    </row>
    <row r="1302" spans="8:8" x14ac:dyDescent="0.25">
      <c r="H1302" s="1"/>
    </row>
    <row r="1303" spans="8:8" x14ac:dyDescent="0.25">
      <c r="H1303" s="1"/>
    </row>
    <row r="1304" spans="8:8" x14ac:dyDescent="0.25">
      <c r="H1304" s="1"/>
    </row>
    <row r="1305" spans="8:8" x14ac:dyDescent="0.25">
      <c r="H1305" s="1"/>
    </row>
    <row r="1306" spans="8:8" x14ac:dyDescent="0.25">
      <c r="H1306" s="1"/>
    </row>
    <row r="1307" spans="8:8" x14ac:dyDescent="0.25">
      <c r="H1307" s="1"/>
    </row>
    <row r="1308" spans="8:8" x14ac:dyDescent="0.25">
      <c r="H1308" s="1"/>
    </row>
    <row r="1309" spans="8:8" x14ac:dyDescent="0.25">
      <c r="H1309" s="1"/>
    </row>
    <row r="1310" spans="8:8" x14ac:dyDescent="0.25">
      <c r="H1310" s="1"/>
    </row>
    <row r="1311" spans="8:8" x14ac:dyDescent="0.25">
      <c r="H1311" s="1"/>
    </row>
    <row r="1312" spans="8:8" x14ac:dyDescent="0.25">
      <c r="H1312" s="1"/>
    </row>
    <row r="1313" spans="8:8" x14ac:dyDescent="0.25">
      <c r="H1313" s="1"/>
    </row>
    <row r="1314" spans="8:8" x14ac:dyDescent="0.25">
      <c r="H1314" s="1"/>
    </row>
    <row r="1315" spans="8:8" x14ac:dyDescent="0.25">
      <c r="H1315" s="1"/>
    </row>
    <row r="1316" spans="8:8" x14ac:dyDescent="0.25">
      <c r="H1316" s="1"/>
    </row>
    <row r="1317" spans="8:8" x14ac:dyDescent="0.25">
      <c r="H1317" s="1"/>
    </row>
    <row r="1318" spans="8:8" x14ac:dyDescent="0.25">
      <c r="H1318" s="1"/>
    </row>
    <row r="1319" spans="8:8" x14ac:dyDescent="0.25">
      <c r="H1319" s="1"/>
    </row>
    <row r="1320" spans="8:8" x14ac:dyDescent="0.25">
      <c r="H1320" s="1"/>
    </row>
    <row r="1321" spans="8:8" x14ac:dyDescent="0.25">
      <c r="H1321" s="1"/>
    </row>
    <row r="1322" spans="8:8" x14ac:dyDescent="0.25">
      <c r="H1322" s="1"/>
    </row>
    <row r="1323" spans="8:8" x14ac:dyDescent="0.25">
      <c r="H1323" s="1"/>
    </row>
    <row r="1324" spans="8:8" x14ac:dyDescent="0.25">
      <c r="H1324" s="1"/>
    </row>
    <row r="1325" spans="8:8" x14ac:dyDescent="0.25">
      <c r="H1325" s="1"/>
    </row>
    <row r="1326" spans="8:8" x14ac:dyDescent="0.25">
      <c r="H1326" s="1"/>
    </row>
    <row r="1327" spans="8:8" x14ac:dyDescent="0.25">
      <c r="H1327" s="1"/>
    </row>
    <row r="1328" spans="8:8" x14ac:dyDescent="0.25">
      <c r="H1328" s="1"/>
    </row>
    <row r="1329" spans="8:8" x14ac:dyDescent="0.25">
      <c r="H1329" s="1"/>
    </row>
    <row r="1330" spans="8:8" x14ac:dyDescent="0.25">
      <c r="H1330" s="1"/>
    </row>
    <row r="1331" spans="8:8" x14ac:dyDescent="0.25">
      <c r="H1331" s="1"/>
    </row>
    <row r="1332" spans="8:8" x14ac:dyDescent="0.25">
      <c r="H1332" s="1"/>
    </row>
    <row r="1333" spans="8:8" x14ac:dyDescent="0.25">
      <c r="H1333" s="1"/>
    </row>
    <row r="1334" spans="8:8" x14ac:dyDescent="0.25">
      <c r="H1334" s="1"/>
    </row>
    <row r="1335" spans="8:8" x14ac:dyDescent="0.25">
      <c r="H1335" s="1"/>
    </row>
    <row r="1336" spans="8:8" x14ac:dyDescent="0.25">
      <c r="H1336" s="1"/>
    </row>
    <row r="1337" spans="8:8" x14ac:dyDescent="0.25">
      <c r="H1337" s="1"/>
    </row>
    <row r="1338" spans="8:8" x14ac:dyDescent="0.25">
      <c r="H1338" s="1"/>
    </row>
    <row r="1339" spans="8:8" x14ac:dyDescent="0.25">
      <c r="H1339" s="1"/>
    </row>
    <row r="1340" spans="8:8" x14ac:dyDescent="0.25">
      <c r="H1340" s="1"/>
    </row>
    <row r="1341" spans="8:8" x14ac:dyDescent="0.25">
      <c r="H1341" s="1"/>
    </row>
    <row r="1342" spans="8:8" x14ac:dyDescent="0.25">
      <c r="H1342" s="1"/>
    </row>
    <row r="1343" spans="8:8" x14ac:dyDescent="0.25">
      <c r="H1343" s="1"/>
    </row>
    <row r="1344" spans="8:8" x14ac:dyDescent="0.25">
      <c r="H1344" s="1"/>
    </row>
    <row r="1345" spans="8:8" x14ac:dyDescent="0.25">
      <c r="H1345" s="1"/>
    </row>
    <row r="1346" spans="8:8" x14ac:dyDescent="0.25">
      <c r="H1346" s="1"/>
    </row>
    <row r="1347" spans="8:8" x14ac:dyDescent="0.25">
      <c r="H1347" s="1"/>
    </row>
    <row r="1348" spans="8:8" x14ac:dyDescent="0.25">
      <c r="H1348" s="1"/>
    </row>
    <row r="1349" spans="8:8" x14ac:dyDescent="0.25">
      <c r="H1349" s="1"/>
    </row>
    <row r="1350" spans="8:8" x14ac:dyDescent="0.25">
      <c r="H1350" s="1"/>
    </row>
    <row r="1351" spans="8:8" x14ac:dyDescent="0.25">
      <c r="H1351" s="1"/>
    </row>
    <row r="1352" spans="8:8" x14ac:dyDescent="0.25">
      <c r="H1352" s="1"/>
    </row>
    <row r="1353" spans="8:8" x14ac:dyDescent="0.25">
      <c r="H1353" s="1"/>
    </row>
    <row r="1354" spans="8:8" x14ac:dyDescent="0.25">
      <c r="H1354" s="1"/>
    </row>
    <row r="1355" spans="8:8" x14ac:dyDescent="0.25">
      <c r="H1355" s="1"/>
    </row>
    <row r="1356" spans="8:8" x14ac:dyDescent="0.25">
      <c r="H1356" s="1"/>
    </row>
    <row r="1357" spans="8:8" x14ac:dyDescent="0.25">
      <c r="H1357" s="1"/>
    </row>
    <row r="1358" spans="8:8" x14ac:dyDescent="0.25">
      <c r="H1358" s="1"/>
    </row>
    <row r="1359" spans="8:8" x14ac:dyDescent="0.25">
      <c r="H1359" s="1"/>
    </row>
    <row r="1360" spans="8:8" x14ac:dyDescent="0.25">
      <c r="H1360" s="1"/>
    </row>
    <row r="1361" spans="8:8" x14ac:dyDescent="0.25">
      <c r="H1361" s="1"/>
    </row>
    <row r="1362" spans="8:8" x14ac:dyDescent="0.25">
      <c r="H1362" s="1"/>
    </row>
    <row r="1363" spans="8:8" x14ac:dyDescent="0.25">
      <c r="H1363" s="1"/>
    </row>
    <row r="1364" spans="8:8" x14ac:dyDescent="0.25">
      <c r="H1364" s="1"/>
    </row>
    <row r="1365" spans="8:8" x14ac:dyDescent="0.25">
      <c r="H1365" s="1"/>
    </row>
    <row r="1366" spans="8:8" x14ac:dyDescent="0.25">
      <c r="H1366" s="1"/>
    </row>
    <row r="1367" spans="8:8" x14ac:dyDescent="0.25">
      <c r="H1367" s="1"/>
    </row>
    <row r="1368" spans="8:8" x14ac:dyDescent="0.25">
      <c r="H1368" s="1"/>
    </row>
    <row r="1369" spans="8:8" x14ac:dyDescent="0.25">
      <c r="H1369" s="1"/>
    </row>
    <row r="1370" spans="8:8" x14ac:dyDescent="0.25">
      <c r="H1370" s="1"/>
    </row>
    <row r="1371" spans="8:8" x14ac:dyDescent="0.25">
      <c r="H1371" s="1"/>
    </row>
    <row r="1372" spans="8:8" x14ac:dyDescent="0.25">
      <c r="H1372" s="1"/>
    </row>
    <row r="1373" spans="8:8" x14ac:dyDescent="0.25">
      <c r="H1373" s="1"/>
    </row>
    <row r="1374" spans="8:8" x14ac:dyDescent="0.25">
      <c r="H1374" s="1"/>
    </row>
    <row r="1375" spans="8:8" x14ac:dyDescent="0.25">
      <c r="H1375" s="1"/>
    </row>
    <row r="1376" spans="8:8" x14ac:dyDescent="0.25">
      <c r="H1376" s="1"/>
    </row>
    <row r="1377" spans="8:8" x14ac:dyDescent="0.25">
      <c r="H1377" s="1"/>
    </row>
    <row r="1378" spans="8:8" x14ac:dyDescent="0.25">
      <c r="H1378" s="1"/>
    </row>
    <row r="1379" spans="8:8" x14ac:dyDescent="0.25">
      <c r="H1379" s="1"/>
    </row>
    <row r="1380" spans="8:8" x14ac:dyDescent="0.25">
      <c r="H1380" s="1"/>
    </row>
    <row r="1381" spans="8:8" x14ac:dyDescent="0.25">
      <c r="H1381" s="1"/>
    </row>
    <row r="1382" spans="8:8" x14ac:dyDescent="0.25">
      <c r="H1382" s="1"/>
    </row>
    <row r="1383" spans="8:8" x14ac:dyDescent="0.25">
      <c r="H1383" s="1"/>
    </row>
    <row r="1384" spans="8:8" x14ac:dyDescent="0.25">
      <c r="H1384" s="1"/>
    </row>
    <row r="1385" spans="8:8" x14ac:dyDescent="0.25">
      <c r="H1385" s="1"/>
    </row>
    <row r="1386" spans="8:8" x14ac:dyDescent="0.25">
      <c r="H1386" s="1"/>
    </row>
    <row r="1387" spans="8:8" x14ac:dyDescent="0.25">
      <c r="H1387" s="1"/>
    </row>
    <row r="1388" spans="8:8" x14ac:dyDescent="0.25">
      <c r="H1388" s="1"/>
    </row>
    <row r="1389" spans="8:8" x14ac:dyDescent="0.25">
      <c r="H1389" s="1"/>
    </row>
    <row r="1390" spans="8:8" x14ac:dyDescent="0.25">
      <c r="H1390" s="1"/>
    </row>
    <row r="1391" spans="8:8" x14ac:dyDescent="0.25">
      <c r="H1391" s="1"/>
    </row>
    <row r="1392" spans="8:8" x14ac:dyDescent="0.25">
      <c r="H1392" s="1"/>
    </row>
    <row r="1393" spans="8:8" x14ac:dyDescent="0.25">
      <c r="H1393" s="1"/>
    </row>
    <row r="1394" spans="8:8" x14ac:dyDescent="0.25">
      <c r="H1394" s="1"/>
    </row>
    <row r="1395" spans="8:8" x14ac:dyDescent="0.25">
      <c r="H1395" s="1"/>
    </row>
    <row r="1396" spans="8:8" x14ac:dyDescent="0.25">
      <c r="H1396" s="1"/>
    </row>
    <row r="1397" spans="8:8" x14ac:dyDescent="0.25">
      <c r="H1397" s="1"/>
    </row>
    <row r="1398" spans="8:8" x14ac:dyDescent="0.25">
      <c r="H1398" s="1"/>
    </row>
    <row r="1399" spans="8:8" x14ac:dyDescent="0.25">
      <c r="H1399" s="1"/>
    </row>
    <row r="1400" spans="8:8" x14ac:dyDescent="0.25">
      <c r="H1400" s="1"/>
    </row>
    <row r="1401" spans="8:8" x14ac:dyDescent="0.25">
      <c r="H1401" s="1"/>
    </row>
    <row r="1402" spans="8:8" x14ac:dyDescent="0.25">
      <c r="H1402" s="1"/>
    </row>
    <row r="1403" spans="8:8" x14ac:dyDescent="0.25">
      <c r="H1403" s="1"/>
    </row>
    <row r="1404" spans="8:8" x14ac:dyDescent="0.25">
      <c r="H1404" s="1"/>
    </row>
    <row r="1405" spans="8:8" x14ac:dyDescent="0.25">
      <c r="H1405" s="1"/>
    </row>
    <row r="1406" spans="8:8" x14ac:dyDescent="0.25">
      <c r="H1406" s="1"/>
    </row>
    <row r="1407" spans="8:8" x14ac:dyDescent="0.25">
      <c r="H1407" s="1"/>
    </row>
    <row r="1408" spans="8:8" x14ac:dyDescent="0.25">
      <c r="H1408" s="1"/>
    </row>
    <row r="1409" spans="8:8" x14ac:dyDescent="0.25">
      <c r="H1409" s="1"/>
    </row>
    <row r="1410" spans="8:8" x14ac:dyDescent="0.25">
      <c r="H1410" s="1"/>
    </row>
    <row r="1411" spans="8:8" x14ac:dyDescent="0.25">
      <c r="H1411" s="1"/>
    </row>
    <row r="1412" spans="8:8" x14ac:dyDescent="0.25">
      <c r="H1412" s="1"/>
    </row>
    <row r="1413" spans="8:8" x14ac:dyDescent="0.25">
      <c r="H1413" s="1"/>
    </row>
    <row r="1414" spans="8:8" x14ac:dyDescent="0.25">
      <c r="H1414" s="1"/>
    </row>
    <row r="1415" spans="8:8" x14ac:dyDescent="0.25">
      <c r="H1415" s="1"/>
    </row>
    <row r="1416" spans="8:8" x14ac:dyDescent="0.25">
      <c r="H1416" s="1"/>
    </row>
    <row r="1417" spans="8:8" x14ac:dyDescent="0.25">
      <c r="H1417" s="1"/>
    </row>
    <row r="1418" spans="8:8" x14ac:dyDescent="0.25">
      <c r="H1418" s="1"/>
    </row>
    <row r="1419" spans="8:8" x14ac:dyDescent="0.25">
      <c r="H1419" s="1"/>
    </row>
    <row r="1420" spans="8:8" x14ac:dyDescent="0.25">
      <c r="H1420" s="1"/>
    </row>
    <row r="1421" spans="8:8" x14ac:dyDescent="0.25">
      <c r="H1421" s="1"/>
    </row>
    <row r="1422" spans="8:8" x14ac:dyDescent="0.25">
      <c r="H1422" s="1"/>
    </row>
    <row r="1423" spans="8:8" x14ac:dyDescent="0.25">
      <c r="H1423" s="1"/>
    </row>
    <row r="1424" spans="8:8" x14ac:dyDescent="0.25">
      <c r="H1424" s="1"/>
    </row>
    <row r="1425" spans="8:8" x14ac:dyDescent="0.25">
      <c r="H1425" s="1"/>
    </row>
    <row r="1426" spans="8:8" x14ac:dyDescent="0.25">
      <c r="H1426" s="1"/>
    </row>
    <row r="1427" spans="8:8" x14ac:dyDescent="0.25">
      <c r="H1427" s="1"/>
    </row>
    <row r="1428" spans="8:8" x14ac:dyDescent="0.25">
      <c r="H1428" s="1"/>
    </row>
    <row r="1429" spans="8:8" x14ac:dyDescent="0.25">
      <c r="H1429" s="1"/>
    </row>
    <row r="1430" spans="8:8" x14ac:dyDescent="0.25">
      <c r="H1430" s="1"/>
    </row>
    <row r="1431" spans="8:8" x14ac:dyDescent="0.25">
      <c r="H1431" s="1"/>
    </row>
    <row r="1432" spans="8:8" x14ac:dyDescent="0.25">
      <c r="H1432" s="1"/>
    </row>
    <row r="1433" spans="8:8" x14ac:dyDescent="0.25">
      <c r="H1433" s="1"/>
    </row>
    <row r="1434" spans="8:8" x14ac:dyDescent="0.25">
      <c r="H1434" s="1"/>
    </row>
    <row r="1435" spans="8:8" x14ac:dyDescent="0.25">
      <c r="H1435" s="1"/>
    </row>
    <row r="1436" spans="8:8" x14ac:dyDescent="0.25">
      <c r="H1436" s="1"/>
    </row>
    <row r="1437" spans="8:8" x14ac:dyDescent="0.25">
      <c r="H1437" s="1"/>
    </row>
    <row r="1438" spans="8:8" x14ac:dyDescent="0.25">
      <c r="H1438" s="1"/>
    </row>
    <row r="1439" spans="8:8" x14ac:dyDescent="0.25">
      <c r="H1439" s="1"/>
    </row>
    <row r="1440" spans="8:8" x14ac:dyDescent="0.25">
      <c r="H1440" s="1"/>
    </row>
    <row r="1441" spans="8:8" x14ac:dyDescent="0.25">
      <c r="H1441" s="1"/>
    </row>
    <row r="1442" spans="8:8" x14ac:dyDescent="0.25">
      <c r="H1442" s="1"/>
    </row>
    <row r="1443" spans="8:8" x14ac:dyDescent="0.25">
      <c r="H1443" s="1"/>
    </row>
    <row r="1444" spans="8:8" x14ac:dyDescent="0.25">
      <c r="H1444" s="1"/>
    </row>
    <row r="1445" spans="8:8" x14ac:dyDescent="0.25">
      <c r="H1445" s="1"/>
    </row>
    <row r="1446" spans="8:8" x14ac:dyDescent="0.25">
      <c r="H1446" s="1"/>
    </row>
    <row r="1447" spans="8:8" x14ac:dyDescent="0.25">
      <c r="H1447" s="1"/>
    </row>
    <row r="1448" spans="8:8" x14ac:dyDescent="0.25">
      <c r="H1448" s="1"/>
    </row>
    <row r="1449" spans="8:8" x14ac:dyDescent="0.25">
      <c r="H1449" s="1"/>
    </row>
    <row r="1450" spans="8:8" x14ac:dyDescent="0.25">
      <c r="H1450" s="1"/>
    </row>
    <row r="1451" spans="8:8" x14ac:dyDescent="0.25">
      <c r="H1451" s="1"/>
    </row>
    <row r="1452" spans="8:8" x14ac:dyDescent="0.25">
      <c r="H1452" s="1"/>
    </row>
    <row r="1453" spans="8:8" x14ac:dyDescent="0.25">
      <c r="H1453" s="1"/>
    </row>
    <row r="1454" spans="8:8" x14ac:dyDescent="0.25">
      <c r="H1454" s="1"/>
    </row>
    <row r="1455" spans="8:8" x14ac:dyDescent="0.25">
      <c r="H1455" s="1"/>
    </row>
    <row r="1456" spans="8:8" x14ac:dyDescent="0.25">
      <c r="H1456" s="1"/>
    </row>
    <row r="1457" spans="8:8" x14ac:dyDescent="0.25">
      <c r="H1457" s="1"/>
    </row>
    <row r="1458" spans="8:8" x14ac:dyDescent="0.25">
      <c r="H1458" s="1"/>
    </row>
    <row r="1459" spans="8:8" x14ac:dyDescent="0.25">
      <c r="H1459" s="1"/>
    </row>
    <row r="1460" spans="8:8" x14ac:dyDescent="0.25">
      <c r="H1460" s="1"/>
    </row>
    <row r="1461" spans="8:8" x14ac:dyDescent="0.25">
      <c r="H1461" s="1"/>
    </row>
    <row r="1462" spans="8:8" x14ac:dyDescent="0.25">
      <c r="H1462" s="1"/>
    </row>
    <row r="1463" spans="8:8" x14ac:dyDescent="0.25">
      <c r="H1463" s="1"/>
    </row>
    <row r="1464" spans="8:8" x14ac:dyDescent="0.25">
      <c r="H1464" s="1"/>
    </row>
    <row r="1465" spans="8:8" x14ac:dyDescent="0.25">
      <c r="H1465" s="1"/>
    </row>
    <row r="1466" spans="8:8" x14ac:dyDescent="0.25">
      <c r="H1466" s="1"/>
    </row>
    <row r="1467" spans="8:8" x14ac:dyDescent="0.25">
      <c r="H1467" s="1"/>
    </row>
    <row r="1468" spans="8:8" x14ac:dyDescent="0.25">
      <c r="H1468" s="1"/>
    </row>
    <row r="1469" spans="8:8" x14ac:dyDescent="0.25">
      <c r="H1469" s="1"/>
    </row>
    <row r="1470" spans="8:8" x14ac:dyDescent="0.25">
      <c r="H1470" s="1"/>
    </row>
    <row r="1471" spans="8:8" x14ac:dyDescent="0.25">
      <c r="H1471" s="1"/>
    </row>
    <row r="1472" spans="8:8" x14ac:dyDescent="0.25">
      <c r="H1472" s="1"/>
    </row>
    <row r="1473" spans="8:8" x14ac:dyDescent="0.25">
      <c r="H1473" s="1"/>
    </row>
    <row r="1474" spans="8:8" x14ac:dyDescent="0.25">
      <c r="H1474" s="1"/>
    </row>
    <row r="1475" spans="8:8" x14ac:dyDescent="0.25">
      <c r="H1475" s="1"/>
    </row>
    <row r="1476" spans="8:8" x14ac:dyDescent="0.25">
      <c r="H1476" s="1"/>
    </row>
    <row r="1477" spans="8:8" x14ac:dyDescent="0.25">
      <c r="H1477" s="1"/>
    </row>
    <row r="1478" spans="8:8" x14ac:dyDescent="0.25">
      <c r="H1478" s="1"/>
    </row>
    <row r="1479" spans="8:8" x14ac:dyDescent="0.25">
      <c r="H1479" s="1"/>
    </row>
    <row r="1480" spans="8:8" x14ac:dyDescent="0.25">
      <c r="H1480" s="1"/>
    </row>
    <row r="1481" spans="8:8" x14ac:dyDescent="0.25">
      <c r="H1481" s="1"/>
    </row>
    <row r="1482" spans="8:8" x14ac:dyDescent="0.25">
      <c r="H1482" s="1"/>
    </row>
    <row r="1483" spans="8:8" x14ac:dyDescent="0.25">
      <c r="H1483" s="1"/>
    </row>
    <row r="1484" spans="8:8" x14ac:dyDescent="0.25">
      <c r="H1484" s="1"/>
    </row>
    <row r="1485" spans="8:8" x14ac:dyDescent="0.25">
      <c r="H1485" s="1"/>
    </row>
    <row r="1486" spans="8:8" x14ac:dyDescent="0.25">
      <c r="H1486" s="1"/>
    </row>
    <row r="1487" spans="8:8" x14ac:dyDescent="0.25">
      <c r="H1487" s="1"/>
    </row>
    <row r="1488" spans="8:8" x14ac:dyDescent="0.25">
      <c r="H1488" s="1"/>
    </row>
    <row r="1489" spans="8:8" x14ac:dyDescent="0.25">
      <c r="H1489" s="1"/>
    </row>
    <row r="1490" spans="8:8" x14ac:dyDescent="0.25">
      <c r="H1490" s="1"/>
    </row>
    <row r="1491" spans="8:8" x14ac:dyDescent="0.25">
      <c r="H1491" s="1"/>
    </row>
    <row r="1492" spans="8:8" x14ac:dyDescent="0.25">
      <c r="H1492" s="1"/>
    </row>
    <row r="1493" spans="8:8" x14ac:dyDescent="0.25">
      <c r="H1493" s="1"/>
    </row>
    <row r="1494" spans="8:8" x14ac:dyDescent="0.25">
      <c r="H1494" s="1"/>
    </row>
    <row r="1495" spans="8:8" x14ac:dyDescent="0.25">
      <c r="H1495" s="1"/>
    </row>
    <row r="1496" spans="8:8" x14ac:dyDescent="0.25">
      <c r="H1496" s="1"/>
    </row>
    <row r="1497" spans="8:8" x14ac:dyDescent="0.25">
      <c r="H1497" s="1"/>
    </row>
    <row r="1498" spans="8:8" x14ac:dyDescent="0.25">
      <c r="H1498" s="1"/>
    </row>
    <row r="1499" spans="8:8" x14ac:dyDescent="0.25">
      <c r="H1499" s="1"/>
    </row>
    <row r="1500" spans="8:8" x14ac:dyDescent="0.25">
      <c r="H1500" s="1"/>
    </row>
    <row r="1501" spans="8:8" x14ac:dyDescent="0.25">
      <c r="H1501" s="1"/>
    </row>
    <row r="1502" spans="8:8" x14ac:dyDescent="0.25">
      <c r="H1502" s="1"/>
    </row>
    <row r="1503" spans="8:8" x14ac:dyDescent="0.25">
      <c r="H1503" s="1"/>
    </row>
    <row r="1504" spans="8:8" x14ac:dyDescent="0.25">
      <c r="H1504" s="1"/>
    </row>
    <row r="1505" spans="8:8" x14ac:dyDescent="0.25">
      <c r="H1505" s="1"/>
    </row>
    <row r="1506" spans="8:8" x14ac:dyDescent="0.25">
      <c r="H1506" s="1"/>
    </row>
    <row r="1507" spans="8:8" x14ac:dyDescent="0.25">
      <c r="H1507" s="1"/>
    </row>
    <row r="1508" spans="8:8" x14ac:dyDescent="0.25">
      <c r="H1508" s="1"/>
    </row>
    <row r="1509" spans="8:8" x14ac:dyDescent="0.25">
      <c r="H1509" s="1"/>
    </row>
    <row r="1510" spans="8:8" x14ac:dyDescent="0.25">
      <c r="H1510" s="1"/>
    </row>
    <row r="1511" spans="8:8" x14ac:dyDescent="0.25">
      <c r="H1511" s="1"/>
    </row>
    <row r="1512" spans="8:8" x14ac:dyDescent="0.25">
      <c r="H1512" s="1"/>
    </row>
    <row r="1513" spans="8:8" x14ac:dyDescent="0.25">
      <c r="H1513" s="1"/>
    </row>
    <row r="1514" spans="8:8" x14ac:dyDescent="0.25">
      <c r="H1514" s="1"/>
    </row>
    <row r="1515" spans="8:8" x14ac:dyDescent="0.25">
      <c r="H1515" s="1"/>
    </row>
    <row r="1516" spans="8:8" x14ac:dyDescent="0.25">
      <c r="H1516" s="1"/>
    </row>
    <row r="1517" spans="8:8" x14ac:dyDescent="0.25">
      <c r="H1517" s="1"/>
    </row>
    <row r="1518" spans="8:8" x14ac:dyDescent="0.25">
      <c r="H1518" s="1"/>
    </row>
    <row r="1519" spans="8:8" x14ac:dyDescent="0.25">
      <c r="H1519" s="1"/>
    </row>
    <row r="1520" spans="8:8" x14ac:dyDescent="0.25">
      <c r="H1520" s="1"/>
    </row>
    <row r="1521" spans="8:8" x14ac:dyDescent="0.25">
      <c r="H1521" s="1"/>
    </row>
    <row r="1522" spans="8:8" x14ac:dyDescent="0.25">
      <c r="H1522" s="1"/>
    </row>
    <row r="1523" spans="8:8" x14ac:dyDescent="0.25">
      <c r="H1523" s="1"/>
    </row>
    <row r="1524" spans="8:8" x14ac:dyDescent="0.25">
      <c r="H1524" s="1"/>
    </row>
    <row r="1525" spans="8:8" x14ac:dyDescent="0.25">
      <c r="H1525" s="1"/>
    </row>
    <row r="1526" spans="8:8" x14ac:dyDescent="0.25">
      <c r="H1526" s="1"/>
    </row>
    <row r="1527" spans="8:8" x14ac:dyDescent="0.25">
      <c r="H1527" s="1"/>
    </row>
    <row r="1528" spans="8:8" x14ac:dyDescent="0.25">
      <c r="H1528" s="1"/>
    </row>
    <row r="1529" spans="8:8" x14ac:dyDescent="0.25">
      <c r="H1529" s="1"/>
    </row>
    <row r="1530" spans="8:8" x14ac:dyDescent="0.25">
      <c r="H1530" s="1"/>
    </row>
    <row r="1531" spans="8:8" x14ac:dyDescent="0.25">
      <c r="H1531" s="1"/>
    </row>
    <row r="1532" spans="8:8" x14ac:dyDescent="0.25">
      <c r="H1532" s="1"/>
    </row>
    <row r="1533" spans="8:8" x14ac:dyDescent="0.25">
      <c r="H1533" s="1"/>
    </row>
    <row r="1534" spans="8:8" x14ac:dyDescent="0.25">
      <c r="H1534" s="1"/>
    </row>
    <row r="1535" spans="8:8" x14ac:dyDescent="0.25">
      <c r="H1535" s="1"/>
    </row>
    <row r="1536" spans="8:8" x14ac:dyDescent="0.25">
      <c r="H1536" s="1"/>
    </row>
    <row r="1537" spans="8:8" x14ac:dyDescent="0.25">
      <c r="H1537" s="1"/>
    </row>
    <row r="1538" spans="8:8" x14ac:dyDescent="0.25">
      <c r="H1538" s="1"/>
    </row>
    <row r="1539" spans="8:8" x14ac:dyDescent="0.25">
      <c r="H1539" s="1"/>
    </row>
    <row r="1540" spans="8:8" x14ac:dyDescent="0.25">
      <c r="H1540" s="1"/>
    </row>
    <row r="1541" spans="8:8" x14ac:dyDescent="0.25">
      <c r="H1541" s="1"/>
    </row>
    <row r="1542" spans="8:8" x14ac:dyDescent="0.25">
      <c r="H1542" s="1"/>
    </row>
    <row r="1543" spans="8:8" x14ac:dyDescent="0.25">
      <c r="H1543" s="1"/>
    </row>
    <row r="1544" spans="8:8" x14ac:dyDescent="0.25">
      <c r="H1544" s="1"/>
    </row>
    <row r="1545" spans="8:8" x14ac:dyDescent="0.25">
      <c r="H1545" s="1"/>
    </row>
    <row r="1546" spans="8:8" x14ac:dyDescent="0.25">
      <c r="H1546" s="1"/>
    </row>
    <row r="1547" spans="8:8" x14ac:dyDescent="0.25">
      <c r="H1547" s="1"/>
    </row>
    <row r="1548" spans="8:8" x14ac:dyDescent="0.25">
      <c r="H1548" s="1"/>
    </row>
    <row r="1549" spans="8:8" x14ac:dyDescent="0.25">
      <c r="H1549" s="1"/>
    </row>
    <row r="1550" spans="8:8" x14ac:dyDescent="0.25">
      <c r="H1550" s="1"/>
    </row>
    <row r="1551" spans="8:8" x14ac:dyDescent="0.25">
      <c r="H1551" s="1"/>
    </row>
    <row r="1552" spans="8:8" x14ac:dyDescent="0.25">
      <c r="H1552" s="1"/>
    </row>
    <row r="1553" spans="8:8" x14ac:dyDescent="0.25">
      <c r="H1553" s="1"/>
    </row>
    <row r="1554" spans="8:8" x14ac:dyDescent="0.25">
      <c r="H1554" s="1"/>
    </row>
    <row r="1555" spans="8:8" x14ac:dyDescent="0.25">
      <c r="H1555" s="1"/>
    </row>
    <row r="1556" spans="8:8" x14ac:dyDescent="0.25">
      <c r="H1556" s="1"/>
    </row>
    <row r="1557" spans="8:8" x14ac:dyDescent="0.25">
      <c r="H1557" s="1"/>
    </row>
    <row r="1558" spans="8:8" x14ac:dyDescent="0.25">
      <c r="H1558" s="1"/>
    </row>
    <row r="1559" spans="8:8" x14ac:dyDescent="0.25">
      <c r="H1559" s="1"/>
    </row>
    <row r="1560" spans="8:8" x14ac:dyDescent="0.25">
      <c r="H1560" s="1"/>
    </row>
    <row r="1561" spans="8:8" x14ac:dyDescent="0.25">
      <c r="H1561" s="1"/>
    </row>
    <row r="1562" spans="8:8" x14ac:dyDescent="0.25">
      <c r="H1562" s="1"/>
    </row>
    <row r="1563" spans="8:8" x14ac:dyDescent="0.25">
      <c r="H1563" s="1"/>
    </row>
    <row r="1564" spans="8:8" x14ac:dyDescent="0.25">
      <c r="H1564" s="1"/>
    </row>
    <row r="1565" spans="8:8" x14ac:dyDescent="0.25">
      <c r="H1565" s="1"/>
    </row>
    <row r="1566" spans="8:8" x14ac:dyDescent="0.25">
      <c r="H1566" s="1"/>
    </row>
    <row r="1567" spans="8:8" x14ac:dyDescent="0.25">
      <c r="H1567" s="1"/>
    </row>
    <row r="1568" spans="8: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row r="1868" spans="8:8" x14ac:dyDescent="0.25">
      <c r="H1868" s="1"/>
    </row>
    <row r="1869" spans="8:8" x14ac:dyDescent="0.25">
      <c r="H1869" s="1"/>
    </row>
    <row r="1870" spans="8:8" x14ac:dyDescent="0.25">
      <c r="H1870" s="1"/>
    </row>
    <row r="1871" spans="8:8" x14ac:dyDescent="0.25">
      <c r="H1871" s="1"/>
    </row>
    <row r="1872" spans="8:8" x14ac:dyDescent="0.25">
      <c r="H1872" s="1"/>
    </row>
    <row r="1873" spans="8:8" x14ac:dyDescent="0.25">
      <c r="H1873" s="1"/>
    </row>
    <row r="1874" spans="8:8" x14ac:dyDescent="0.25">
      <c r="H1874" s="1"/>
    </row>
    <row r="1875" spans="8:8" x14ac:dyDescent="0.25">
      <c r="H1875" s="1"/>
    </row>
    <row r="1876" spans="8:8" x14ac:dyDescent="0.25">
      <c r="H1876" s="1"/>
    </row>
    <row r="1877" spans="8:8" x14ac:dyDescent="0.25">
      <c r="H1877" s="1"/>
    </row>
    <row r="1878" spans="8:8" x14ac:dyDescent="0.25">
      <c r="H1878" s="1"/>
    </row>
    <row r="1879" spans="8:8" x14ac:dyDescent="0.25">
      <c r="H1879" s="1"/>
    </row>
    <row r="1880" spans="8:8" x14ac:dyDescent="0.25">
      <c r="H1880" s="1"/>
    </row>
    <row r="1881" spans="8:8" x14ac:dyDescent="0.25">
      <c r="H1881" s="1"/>
    </row>
    <row r="1882" spans="8:8" x14ac:dyDescent="0.25">
      <c r="H1882" s="1"/>
    </row>
    <row r="1883" spans="8:8" x14ac:dyDescent="0.25">
      <c r="H1883" s="1"/>
    </row>
    <row r="1884" spans="8:8" x14ac:dyDescent="0.25">
      <c r="H1884" s="1"/>
    </row>
    <row r="1885" spans="8:8" x14ac:dyDescent="0.25">
      <c r="H1885" s="1"/>
    </row>
    <row r="1886" spans="8:8" x14ac:dyDescent="0.25">
      <c r="H1886" s="1"/>
    </row>
    <row r="1887" spans="8:8" x14ac:dyDescent="0.25">
      <c r="H1887" s="1"/>
    </row>
    <row r="1888" spans="8:8" x14ac:dyDescent="0.25">
      <c r="H1888" s="1"/>
    </row>
    <row r="1889" spans="8:8" x14ac:dyDescent="0.25">
      <c r="H1889" s="1"/>
    </row>
    <row r="1890" spans="8:8" x14ac:dyDescent="0.25">
      <c r="H1890" s="1"/>
    </row>
    <row r="1891" spans="8:8" x14ac:dyDescent="0.25">
      <c r="H1891" s="1"/>
    </row>
    <row r="1892" spans="8:8" x14ac:dyDescent="0.25">
      <c r="H1892" s="1"/>
    </row>
    <row r="1893" spans="8:8" x14ac:dyDescent="0.25">
      <c r="H1893" s="1"/>
    </row>
    <row r="1894" spans="8:8" x14ac:dyDescent="0.25">
      <c r="H1894" s="1"/>
    </row>
    <row r="1895" spans="8:8" x14ac:dyDescent="0.25">
      <c r="H1895" s="1"/>
    </row>
    <row r="1896" spans="8:8" x14ac:dyDescent="0.25">
      <c r="H1896" s="1"/>
    </row>
    <row r="1897" spans="8:8" x14ac:dyDescent="0.25">
      <c r="H1897" s="1"/>
    </row>
    <row r="1898" spans="8:8" x14ac:dyDescent="0.25">
      <c r="H1898" s="1"/>
    </row>
    <row r="1899" spans="8:8" x14ac:dyDescent="0.25">
      <c r="H1899" s="1"/>
    </row>
    <row r="1900" spans="8:8" x14ac:dyDescent="0.25">
      <c r="H1900" s="1"/>
    </row>
    <row r="1901" spans="8:8" x14ac:dyDescent="0.25">
      <c r="H1901" s="1"/>
    </row>
    <row r="1902" spans="8:8" x14ac:dyDescent="0.25">
      <c r="H1902" s="1"/>
    </row>
    <row r="1903" spans="8:8" x14ac:dyDescent="0.25">
      <c r="H1903" s="1"/>
    </row>
    <row r="1904" spans="8:8" x14ac:dyDescent="0.25">
      <c r="H1904" s="1"/>
    </row>
    <row r="1905" spans="8:8" x14ac:dyDescent="0.25">
      <c r="H1905" s="1"/>
    </row>
    <row r="1906" spans="8:8" x14ac:dyDescent="0.25">
      <c r="H1906" s="1"/>
    </row>
    <row r="1907" spans="8:8" x14ac:dyDescent="0.25">
      <c r="H1907" s="1"/>
    </row>
    <row r="1908" spans="8:8" x14ac:dyDescent="0.25">
      <c r="H1908" s="1"/>
    </row>
    <row r="1909" spans="8:8" x14ac:dyDescent="0.25">
      <c r="H1909" s="1"/>
    </row>
    <row r="1910" spans="8:8" x14ac:dyDescent="0.25">
      <c r="H1910" s="1"/>
    </row>
    <row r="1911" spans="8:8" x14ac:dyDescent="0.25">
      <c r="H1911" s="1"/>
    </row>
    <row r="1912" spans="8:8" x14ac:dyDescent="0.25">
      <c r="H1912" s="1"/>
    </row>
    <row r="1913" spans="8:8" x14ac:dyDescent="0.25">
      <c r="H1913" s="1"/>
    </row>
    <row r="1914" spans="8:8" x14ac:dyDescent="0.25">
      <c r="H1914" s="1"/>
    </row>
    <row r="1915" spans="8:8" x14ac:dyDescent="0.25">
      <c r="H1915" s="1"/>
    </row>
    <row r="1916" spans="8:8" x14ac:dyDescent="0.25">
      <c r="H1916" s="1"/>
    </row>
    <row r="1917" spans="8:8" x14ac:dyDescent="0.25">
      <c r="H1917" s="1"/>
    </row>
    <row r="1918" spans="8:8" x14ac:dyDescent="0.25">
      <c r="H1918" s="1"/>
    </row>
    <row r="1919" spans="8:8" x14ac:dyDescent="0.25">
      <c r="H1919" s="1"/>
    </row>
    <row r="1920" spans="8:8" x14ac:dyDescent="0.25">
      <c r="H1920" s="1"/>
    </row>
    <row r="1921" spans="8:8" x14ac:dyDescent="0.25">
      <c r="H1921" s="1"/>
    </row>
    <row r="1922" spans="8:8" x14ac:dyDescent="0.25">
      <c r="H1922" s="1"/>
    </row>
    <row r="1923" spans="8:8" x14ac:dyDescent="0.25">
      <c r="H1923" s="1"/>
    </row>
    <row r="1924" spans="8:8" x14ac:dyDescent="0.25">
      <c r="H1924" s="1"/>
    </row>
    <row r="1925" spans="8:8" x14ac:dyDescent="0.25">
      <c r="H1925" s="1"/>
    </row>
    <row r="1926" spans="8:8" x14ac:dyDescent="0.25">
      <c r="H1926" s="1"/>
    </row>
    <row r="1927" spans="8:8" x14ac:dyDescent="0.25">
      <c r="H1927" s="1"/>
    </row>
    <row r="1928" spans="8:8" x14ac:dyDescent="0.25">
      <c r="H1928" s="1"/>
    </row>
    <row r="1929" spans="8:8" x14ac:dyDescent="0.25">
      <c r="H1929" s="1"/>
    </row>
    <row r="1930" spans="8:8" x14ac:dyDescent="0.25">
      <c r="H1930" s="1"/>
    </row>
    <row r="1931" spans="8:8" x14ac:dyDescent="0.25">
      <c r="H1931" s="1"/>
    </row>
    <row r="1932" spans="8:8" x14ac:dyDescent="0.25">
      <c r="H1932" s="1"/>
    </row>
    <row r="1933" spans="8:8" x14ac:dyDescent="0.25">
      <c r="H1933" s="1"/>
    </row>
    <row r="1934" spans="8:8" x14ac:dyDescent="0.25">
      <c r="H1934" s="1"/>
    </row>
    <row r="1935" spans="8:8" x14ac:dyDescent="0.25">
      <c r="H1935" s="1"/>
    </row>
    <row r="1936" spans="8:8" x14ac:dyDescent="0.25">
      <c r="H1936" s="1"/>
    </row>
    <row r="1937" spans="8:8" x14ac:dyDescent="0.25">
      <c r="H1937" s="1"/>
    </row>
    <row r="1938" spans="8:8" x14ac:dyDescent="0.25">
      <c r="H1938" s="1"/>
    </row>
    <row r="1939" spans="8:8" x14ac:dyDescent="0.25">
      <c r="H1939" s="1"/>
    </row>
    <row r="1940" spans="8:8" x14ac:dyDescent="0.25">
      <c r="H1940" s="1"/>
    </row>
    <row r="1941" spans="8:8" x14ac:dyDescent="0.25">
      <c r="H1941" s="1"/>
    </row>
    <row r="1942" spans="8:8" x14ac:dyDescent="0.25">
      <c r="H1942" s="1"/>
    </row>
    <row r="1943" spans="8:8" x14ac:dyDescent="0.25">
      <c r="H1943" s="1"/>
    </row>
    <row r="1944" spans="8:8" x14ac:dyDescent="0.25">
      <c r="H1944" s="1"/>
    </row>
    <row r="1945" spans="8:8" x14ac:dyDescent="0.25">
      <c r="H1945" s="1"/>
    </row>
    <row r="1946" spans="8:8" x14ac:dyDescent="0.25">
      <c r="H1946" s="1"/>
    </row>
    <row r="1947" spans="8:8" x14ac:dyDescent="0.25">
      <c r="H1947" s="1"/>
    </row>
    <row r="1948" spans="8:8" x14ac:dyDescent="0.25">
      <c r="H1948" s="1"/>
    </row>
    <row r="1949" spans="8:8" x14ac:dyDescent="0.25">
      <c r="H1949" s="1"/>
    </row>
    <row r="1950" spans="8:8" x14ac:dyDescent="0.25">
      <c r="H1950" s="1"/>
    </row>
    <row r="1951" spans="8:8" x14ac:dyDescent="0.25">
      <c r="H1951" s="1"/>
    </row>
    <row r="1952" spans="8:8" x14ac:dyDescent="0.25">
      <c r="H1952" s="1"/>
    </row>
    <row r="1953" spans="8:8" x14ac:dyDescent="0.25">
      <c r="H1953" s="1"/>
    </row>
    <row r="1954" spans="8:8" x14ac:dyDescent="0.25">
      <c r="H1954" s="1"/>
    </row>
    <row r="1955" spans="8:8" x14ac:dyDescent="0.25">
      <c r="H1955" s="1"/>
    </row>
    <row r="1956" spans="8:8" x14ac:dyDescent="0.25">
      <c r="H1956" s="1"/>
    </row>
    <row r="1957" spans="8:8" x14ac:dyDescent="0.25">
      <c r="H1957" s="1"/>
    </row>
    <row r="1958" spans="8:8" x14ac:dyDescent="0.25">
      <c r="H1958" s="1"/>
    </row>
    <row r="1959" spans="8:8" x14ac:dyDescent="0.25">
      <c r="H1959" s="1"/>
    </row>
    <row r="1960" spans="8:8" x14ac:dyDescent="0.25">
      <c r="H1960" s="1"/>
    </row>
    <row r="1961" spans="8:8" x14ac:dyDescent="0.25">
      <c r="H1961" s="1"/>
    </row>
    <row r="1962" spans="8:8" x14ac:dyDescent="0.25">
      <c r="H1962" s="1"/>
    </row>
    <row r="1963" spans="8:8" x14ac:dyDescent="0.25">
      <c r="H1963" s="1"/>
    </row>
    <row r="1964" spans="8:8" x14ac:dyDescent="0.25">
      <c r="H1964" s="1"/>
    </row>
    <row r="1965" spans="8:8" x14ac:dyDescent="0.25">
      <c r="H1965" s="1"/>
    </row>
    <row r="1966" spans="8:8" x14ac:dyDescent="0.25">
      <c r="H1966" s="1"/>
    </row>
    <row r="1967" spans="8:8" x14ac:dyDescent="0.25">
      <c r="H1967" s="1"/>
    </row>
    <row r="1968" spans="8:8" x14ac:dyDescent="0.25">
      <c r="H1968" s="1"/>
    </row>
    <row r="1969" spans="8:8" x14ac:dyDescent="0.25">
      <c r="H1969" s="1"/>
    </row>
    <row r="1970" spans="8:8" x14ac:dyDescent="0.25">
      <c r="H1970" s="1"/>
    </row>
    <row r="1971" spans="8:8" x14ac:dyDescent="0.25">
      <c r="H1971" s="1"/>
    </row>
    <row r="1972" spans="8:8" x14ac:dyDescent="0.25">
      <c r="H1972" s="1"/>
    </row>
    <row r="1973" spans="8:8" x14ac:dyDescent="0.25">
      <c r="H1973" s="1"/>
    </row>
    <row r="1974" spans="8:8" x14ac:dyDescent="0.25">
      <c r="H1974" s="1"/>
    </row>
    <row r="1975" spans="8:8" x14ac:dyDescent="0.25">
      <c r="H1975" s="1"/>
    </row>
    <row r="1976" spans="8:8" x14ac:dyDescent="0.25">
      <c r="H1976" s="1"/>
    </row>
    <row r="1977" spans="8:8" x14ac:dyDescent="0.25">
      <c r="H1977" s="1"/>
    </row>
    <row r="1978" spans="8:8" x14ac:dyDescent="0.25">
      <c r="H1978" s="1"/>
    </row>
    <row r="1979" spans="8:8" x14ac:dyDescent="0.25">
      <c r="H1979" s="1"/>
    </row>
    <row r="1980" spans="8:8" x14ac:dyDescent="0.25">
      <c r="H1980" s="1"/>
    </row>
    <row r="1981" spans="8:8" x14ac:dyDescent="0.25">
      <c r="H1981" s="1"/>
    </row>
    <row r="1982" spans="8:8" x14ac:dyDescent="0.25">
      <c r="H1982" s="1"/>
    </row>
    <row r="1983" spans="8:8" x14ac:dyDescent="0.25">
      <c r="H1983" s="1"/>
    </row>
    <row r="1984" spans="8:8" x14ac:dyDescent="0.25">
      <c r="H1984" s="1"/>
    </row>
    <row r="1985" spans="8:8" x14ac:dyDescent="0.25">
      <c r="H1985" s="1"/>
    </row>
    <row r="1986" spans="8:8" x14ac:dyDescent="0.25">
      <c r="H1986" s="1"/>
    </row>
    <row r="1987" spans="8:8" x14ac:dyDescent="0.25">
      <c r="H1987" s="1"/>
    </row>
    <row r="1988" spans="8:8" x14ac:dyDescent="0.25">
      <c r="H1988" s="1"/>
    </row>
    <row r="1989" spans="8:8" x14ac:dyDescent="0.25">
      <c r="H1989" s="1"/>
    </row>
    <row r="1990" spans="8:8" x14ac:dyDescent="0.25">
      <c r="H1990" s="1"/>
    </row>
    <row r="1991" spans="8:8" x14ac:dyDescent="0.25">
      <c r="H1991" s="1"/>
    </row>
    <row r="1992" spans="8:8" x14ac:dyDescent="0.25">
      <c r="H1992" s="1"/>
    </row>
    <row r="1993" spans="8:8" x14ac:dyDescent="0.25">
      <c r="H1993" s="1"/>
    </row>
    <row r="1994" spans="8:8" x14ac:dyDescent="0.25">
      <c r="H1994" s="1"/>
    </row>
    <row r="1995" spans="8:8" x14ac:dyDescent="0.25">
      <c r="H1995" s="1"/>
    </row>
    <row r="1996" spans="8:8" x14ac:dyDescent="0.25">
      <c r="H1996" s="1"/>
    </row>
    <row r="1997" spans="8:8" x14ac:dyDescent="0.25">
      <c r="H1997" s="1"/>
    </row>
    <row r="1998" spans="8:8" x14ac:dyDescent="0.25">
      <c r="H1998" s="1"/>
    </row>
    <row r="1999" spans="8:8" x14ac:dyDescent="0.25">
      <c r="H1999" s="1"/>
    </row>
    <row r="2000" spans="8:8" x14ac:dyDescent="0.25">
      <c r="H2000" s="1"/>
    </row>
    <row r="2001" spans="8:8" x14ac:dyDescent="0.25">
      <c r="H2001" s="1"/>
    </row>
    <row r="2002" spans="8:8" x14ac:dyDescent="0.25">
      <c r="H2002" s="1"/>
    </row>
    <row r="2003" spans="8:8" x14ac:dyDescent="0.25">
      <c r="H2003" s="1"/>
    </row>
    <row r="2004" spans="8:8" x14ac:dyDescent="0.25">
      <c r="H2004" s="1"/>
    </row>
    <row r="2005" spans="8:8" x14ac:dyDescent="0.25">
      <c r="H2005" s="1"/>
    </row>
    <row r="2006" spans="8:8" x14ac:dyDescent="0.25">
      <c r="H2006" s="1"/>
    </row>
    <row r="2007" spans="8:8" x14ac:dyDescent="0.25">
      <c r="H2007" s="1"/>
    </row>
    <row r="2008" spans="8:8" x14ac:dyDescent="0.25">
      <c r="H2008" s="1"/>
    </row>
    <row r="2009" spans="8:8" x14ac:dyDescent="0.25">
      <c r="H2009" s="1"/>
    </row>
    <row r="2010" spans="8:8" x14ac:dyDescent="0.25">
      <c r="H2010" s="1"/>
    </row>
    <row r="2011" spans="8:8" x14ac:dyDescent="0.25">
      <c r="H2011" s="1"/>
    </row>
    <row r="2012" spans="8:8" x14ac:dyDescent="0.25">
      <c r="H2012" s="1"/>
    </row>
    <row r="2013" spans="8:8" x14ac:dyDescent="0.25">
      <c r="H2013" s="1"/>
    </row>
    <row r="2014" spans="8:8" x14ac:dyDescent="0.25">
      <c r="H2014" s="1"/>
    </row>
    <row r="2015" spans="8:8" x14ac:dyDescent="0.25">
      <c r="H2015" s="1"/>
    </row>
    <row r="2016" spans="8:8" x14ac:dyDescent="0.25">
      <c r="H2016" s="1"/>
    </row>
    <row r="2017" spans="8:8" x14ac:dyDescent="0.25">
      <c r="H2017" s="1"/>
    </row>
    <row r="2018" spans="8:8" x14ac:dyDescent="0.25">
      <c r="H2018" s="1"/>
    </row>
    <row r="2019" spans="8:8" x14ac:dyDescent="0.25">
      <c r="H2019" s="1"/>
    </row>
    <row r="2020" spans="8:8" x14ac:dyDescent="0.25">
      <c r="H2020" s="1"/>
    </row>
    <row r="2021" spans="8:8" x14ac:dyDescent="0.25">
      <c r="H2021" s="1"/>
    </row>
    <row r="2022" spans="8:8" x14ac:dyDescent="0.25">
      <c r="H2022" s="1"/>
    </row>
    <row r="2023" spans="8:8" x14ac:dyDescent="0.25">
      <c r="H2023" s="1"/>
    </row>
    <row r="2024" spans="8:8" x14ac:dyDescent="0.25">
      <c r="H2024" s="1"/>
    </row>
    <row r="2025" spans="8:8" x14ac:dyDescent="0.25">
      <c r="H2025" s="1"/>
    </row>
    <row r="2026" spans="8:8" x14ac:dyDescent="0.25">
      <c r="H2026" s="1"/>
    </row>
    <row r="2027" spans="8:8" x14ac:dyDescent="0.25">
      <c r="H2027" s="1"/>
    </row>
    <row r="2028" spans="8:8" x14ac:dyDescent="0.25">
      <c r="H2028" s="1"/>
    </row>
    <row r="2029" spans="8:8" x14ac:dyDescent="0.25">
      <c r="H2029" s="1"/>
    </row>
    <row r="2030" spans="8:8" x14ac:dyDescent="0.25">
      <c r="H2030" s="1"/>
    </row>
    <row r="2031" spans="8:8" x14ac:dyDescent="0.25">
      <c r="H2031" s="1"/>
    </row>
    <row r="2032" spans="8:8" x14ac:dyDescent="0.25">
      <c r="H2032" s="1"/>
    </row>
    <row r="2033" spans="8:8" x14ac:dyDescent="0.25">
      <c r="H2033" s="1"/>
    </row>
    <row r="2034" spans="8:8" x14ac:dyDescent="0.25">
      <c r="H2034" s="1"/>
    </row>
    <row r="2035" spans="8:8" x14ac:dyDescent="0.25">
      <c r="H2035" s="1"/>
    </row>
    <row r="2036" spans="8:8" x14ac:dyDescent="0.25">
      <c r="H2036" s="1"/>
    </row>
    <row r="2037" spans="8:8" x14ac:dyDescent="0.25">
      <c r="H2037" s="1"/>
    </row>
    <row r="2038" spans="8:8" x14ac:dyDescent="0.25">
      <c r="H2038" s="1"/>
    </row>
    <row r="2039" spans="8:8" x14ac:dyDescent="0.25">
      <c r="H2039" s="1"/>
    </row>
    <row r="2040" spans="8:8" x14ac:dyDescent="0.25">
      <c r="H2040" s="1"/>
    </row>
    <row r="2041" spans="8:8" x14ac:dyDescent="0.25">
      <c r="H2041" s="1"/>
    </row>
    <row r="2042" spans="8:8" x14ac:dyDescent="0.25">
      <c r="H2042" s="1"/>
    </row>
    <row r="2043" spans="8:8" x14ac:dyDescent="0.25">
      <c r="H2043" s="1"/>
    </row>
    <row r="2044" spans="8:8" x14ac:dyDescent="0.25">
      <c r="H2044" s="1"/>
    </row>
    <row r="2045" spans="8:8" x14ac:dyDescent="0.25">
      <c r="H2045" s="1"/>
    </row>
    <row r="2046" spans="8:8" x14ac:dyDescent="0.25">
      <c r="H2046" s="1"/>
    </row>
    <row r="2047" spans="8:8" x14ac:dyDescent="0.25">
      <c r="H2047" s="1"/>
    </row>
    <row r="2048" spans="8:8" x14ac:dyDescent="0.25">
      <c r="H2048" s="1"/>
    </row>
    <row r="2049" spans="8:8" x14ac:dyDescent="0.25">
      <c r="H2049" s="1"/>
    </row>
    <row r="2050" spans="8:8" x14ac:dyDescent="0.25">
      <c r="H2050" s="1"/>
    </row>
    <row r="2051" spans="8:8" x14ac:dyDescent="0.25">
      <c r="H2051" s="1"/>
    </row>
    <row r="2052" spans="8:8" x14ac:dyDescent="0.25">
      <c r="H2052" s="1"/>
    </row>
    <row r="2053" spans="8:8" x14ac:dyDescent="0.25">
      <c r="H2053" s="1"/>
    </row>
    <row r="2054" spans="8:8" x14ac:dyDescent="0.25">
      <c r="H2054" s="1"/>
    </row>
    <row r="2055" spans="8:8" x14ac:dyDescent="0.25">
      <c r="H2055" s="1"/>
    </row>
    <row r="2056" spans="8:8" x14ac:dyDescent="0.25">
      <c r="H2056" s="1"/>
    </row>
    <row r="2057" spans="8:8" x14ac:dyDescent="0.25">
      <c r="H2057" s="1"/>
    </row>
    <row r="2058" spans="8:8" x14ac:dyDescent="0.25">
      <c r="H2058" s="1"/>
    </row>
    <row r="2059" spans="8:8" x14ac:dyDescent="0.25">
      <c r="H2059" s="1"/>
    </row>
    <row r="2060" spans="8:8" x14ac:dyDescent="0.25">
      <c r="H2060" s="1"/>
    </row>
    <row r="2061" spans="8:8" x14ac:dyDescent="0.25">
      <c r="H2061" s="1"/>
    </row>
    <row r="2062" spans="8:8" x14ac:dyDescent="0.25">
      <c r="H2062" s="1"/>
    </row>
    <row r="2063" spans="8:8" x14ac:dyDescent="0.25">
      <c r="H2063" s="1"/>
    </row>
    <row r="2064" spans="8:8" x14ac:dyDescent="0.25">
      <c r="H2064" s="1"/>
    </row>
    <row r="2065" spans="8:8" x14ac:dyDescent="0.25">
      <c r="H2065" s="1"/>
    </row>
    <row r="2066" spans="8:8" x14ac:dyDescent="0.25">
      <c r="H2066" s="1"/>
    </row>
    <row r="2067" spans="8:8" x14ac:dyDescent="0.25">
      <c r="H2067" s="1"/>
    </row>
    <row r="2068" spans="8:8" x14ac:dyDescent="0.25">
      <c r="H2068" s="1"/>
    </row>
    <row r="2069" spans="8:8" x14ac:dyDescent="0.25">
      <c r="H2069" s="1"/>
    </row>
    <row r="2070" spans="8:8" x14ac:dyDescent="0.25">
      <c r="H2070" s="1"/>
    </row>
    <row r="2071" spans="8:8" x14ac:dyDescent="0.25">
      <c r="H2071" s="1"/>
    </row>
    <row r="2072" spans="8:8" x14ac:dyDescent="0.25">
      <c r="H2072" s="1"/>
    </row>
    <row r="2073" spans="8:8" x14ac:dyDescent="0.25">
      <c r="H2073" s="1"/>
    </row>
    <row r="2074" spans="8:8" x14ac:dyDescent="0.25">
      <c r="H2074" s="1"/>
    </row>
    <row r="2075" spans="8:8" x14ac:dyDescent="0.25">
      <c r="H2075" s="1"/>
    </row>
    <row r="2076" spans="8:8" x14ac:dyDescent="0.25">
      <c r="H2076" s="1"/>
    </row>
    <row r="2077" spans="8:8" x14ac:dyDescent="0.25">
      <c r="H2077" s="1"/>
    </row>
    <row r="2078" spans="8:8" x14ac:dyDescent="0.25">
      <c r="H2078" s="1"/>
    </row>
    <row r="2079" spans="8:8" x14ac:dyDescent="0.25">
      <c r="H2079" s="1"/>
    </row>
    <row r="2080" spans="8:8" x14ac:dyDescent="0.25">
      <c r="H2080" s="1"/>
    </row>
    <row r="2081" spans="8:8" x14ac:dyDescent="0.25">
      <c r="H2081" s="1"/>
    </row>
    <row r="2082" spans="8:8" x14ac:dyDescent="0.25">
      <c r="H2082" s="1"/>
    </row>
    <row r="2083" spans="8:8" x14ac:dyDescent="0.25">
      <c r="H2083" s="1"/>
    </row>
    <row r="2084" spans="8:8" x14ac:dyDescent="0.25">
      <c r="H2084" s="1"/>
    </row>
    <row r="2085" spans="8:8" x14ac:dyDescent="0.25">
      <c r="H2085" s="1"/>
    </row>
    <row r="2086" spans="8:8" x14ac:dyDescent="0.25">
      <c r="H2086" s="1"/>
    </row>
    <row r="2087" spans="8:8" x14ac:dyDescent="0.25">
      <c r="H2087" s="1"/>
    </row>
    <row r="2088" spans="8:8" x14ac:dyDescent="0.25">
      <c r="H2088" s="1"/>
    </row>
    <row r="2089" spans="8:8" x14ac:dyDescent="0.25">
      <c r="H2089" s="1"/>
    </row>
    <row r="2090" spans="8:8" x14ac:dyDescent="0.25">
      <c r="H2090" s="1"/>
    </row>
    <row r="2091" spans="8:8" x14ac:dyDescent="0.25">
      <c r="H2091" s="1"/>
    </row>
    <row r="2092" spans="8:8" x14ac:dyDescent="0.25">
      <c r="H2092" s="1"/>
    </row>
    <row r="2093" spans="8:8" x14ac:dyDescent="0.25">
      <c r="H2093" s="1"/>
    </row>
    <row r="2094" spans="8:8" x14ac:dyDescent="0.25">
      <c r="H2094" s="1"/>
    </row>
    <row r="2095" spans="8:8" x14ac:dyDescent="0.25">
      <c r="H2095" s="1"/>
    </row>
    <row r="2096" spans="8:8" x14ac:dyDescent="0.25">
      <c r="H2096" s="1"/>
    </row>
    <row r="2097" spans="8:8" x14ac:dyDescent="0.25">
      <c r="H2097" s="1"/>
    </row>
    <row r="2098" spans="8:8" x14ac:dyDescent="0.25">
      <c r="H2098" s="1"/>
    </row>
    <row r="2099" spans="8:8" x14ac:dyDescent="0.25">
      <c r="H2099" s="1"/>
    </row>
    <row r="2100" spans="8:8" x14ac:dyDescent="0.25">
      <c r="H2100" s="1"/>
    </row>
    <row r="2101" spans="8:8" x14ac:dyDescent="0.25">
      <c r="H2101" s="1"/>
    </row>
    <row r="2102" spans="8:8" x14ac:dyDescent="0.25">
      <c r="H2102" s="1"/>
    </row>
    <row r="2103" spans="8:8" x14ac:dyDescent="0.25">
      <c r="H2103" s="1"/>
    </row>
    <row r="2104" spans="8:8" x14ac:dyDescent="0.25">
      <c r="H2104" s="1"/>
    </row>
    <row r="2105" spans="8:8" x14ac:dyDescent="0.25">
      <c r="H2105" s="1"/>
    </row>
    <row r="2106" spans="8:8" x14ac:dyDescent="0.25">
      <c r="H2106" s="1"/>
    </row>
    <row r="2107" spans="8:8" x14ac:dyDescent="0.25">
      <c r="H2107" s="1"/>
    </row>
    <row r="2108" spans="8:8" x14ac:dyDescent="0.25">
      <c r="H2108" s="1"/>
    </row>
    <row r="2109" spans="8:8" x14ac:dyDescent="0.25">
      <c r="H2109" s="1"/>
    </row>
    <row r="2110" spans="8:8" x14ac:dyDescent="0.25">
      <c r="H2110" s="1"/>
    </row>
    <row r="2111" spans="8:8" x14ac:dyDescent="0.25">
      <c r="H2111" s="1"/>
    </row>
    <row r="2112" spans="8:8" x14ac:dyDescent="0.25">
      <c r="H2112" s="1"/>
    </row>
    <row r="2113" spans="8:8" x14ac:dyDescent="0.25">
      <c r="H2113" s="1"/>
    </row>
    <row r="2114" spans="8:8" x14ac:dyDescent="0.25">
      <c r="H2114" s="1"/>
    </row>
    <row r="2115" spans="8:8" x14ac:dyDescent="0.25">
      <c r="H2115" s="1"/>
    </row>
    <row r="2116" spans="8:8" x14ac:dyDescent="0.25">
      <c r="H2116" s="1"/>
    </row>
    <row r="2117" spans="8:8" x14ac:dyDescent="0.25">
      <c r="H2117" s="1"/>
    </row>
    <row r="2118" spans="8:8" x14ac:dyDescent="0.25">
      <c r="H2118" s="1"/>
    </row>
    <row r="2119" spans="8:8" x14ac:dyDescent="0.25">
      <c r="H2119" s="1"/>
    </row>
    <row r="2120" spans="8:8" x14ac:dyDescent="0.25">
      <c r="H2120" s="1"/>
    </row>
    <row r="2121" spans="8:8" x14ac:dyDescent="0.25">
      <c r="H2121" s="1"/>
    </row>
    <row r="2122" spans="8:8" x14ac:dyDescent="0.25">
      <c r="H2122" s="1"/>
    </row>
    <row r="2123" spans="8:8" x14ac:dyDescent="0.25">
      <c r="H2123" s="1"/>
    </row>
    <row r="2124" spans="8:8" x14ac:dyDescent="0.25">
      <c r="H2124" s="1"/>
    </row>
    <row r="2125" spans="8:8" x14ac:dyDescent="0.25">
      <c r="H2125" s="1"/>
    </row>
    <row r="2126" spans="8:8" x14ac:dyDescent="0.25">
      <c r="H2126" s="1"/>
    </row>
    <row r="2127" spans="8:8" x14ac:dyDescent="0.25">
      <c r="H2127" s="1"/>
    </row>
    <row r="2128" spans="8:8" x14ac:dyDescent="0.25">
      <c r="H2128" s="1"/>
    </row>
    <row r="2129" spans="8:8" x14ac:dyDescent="0.25">
      <c r="H2129" s="1"/>
    </row>
    <row r="2130" spans="8:8" x14ac:dyDescent="0.25">
      <c r="H2130" s="1"/>
    </row>
    <row r="2131" spans="8:8" x14ac:dyDescent="0.25">
      <c r="H2131" s="1"/>
    </row>
    <row r="2132" spans="8:8" x14ac:dyDescent="0.25">
      <c r="H2132" s="1"/>
    </row>
    <row r="2133" spans="8:8" x14ac:dyDescent="0.25">
      <c r="H2133" s="1"/>
    </row>
    <row r="2134" spans="8:8" x14ac:dyDescent="0.25">
      <c r="H2134" s="1"/>
    </row>
    <row r="2135" spans="8:8" x14ac:dyDescent="0.25">
      <c r="H2135" s="1"/>
    </row>
    <row r="2136" spans="8:8" x14ac:dyDescent="0.25">
      <c r="H2136" s="1"/>
    </row>
    <row r="2137" spans="8:8" x14ac:dyDescent="0.25">
      <c r="H2137" s="1"/>
    </row>
    <row r="2138" spans="8:8" x14ac:dyDescent="0.25">
      <c r="H2138" s="1"/>
    </row>
    <row r="2139" spans="8:8" x14ac:dyDescent="0.25">
      <c r="H2139" s="1"/>
    </row>
    <row r="2140" spans="8:8" x14ac:dyDescent="0.25">
      <c r="H2140" s="1"/>
    </row>
    <row r="2141" spans="8:8" x14ac:dyDescent="0.25">
      <c r="H2141" s="1"/>
    </row>
    <row r="2142" spans="8:8" x14ac:dyDescent="0.25">
      <c r="H2142" s="1"/>
    </row>
    <row r="2143" spans="8:8" x14ac:dyDescent="0.25">
      <c r="H2143" s="1"/>
    </row>
    <row r="2144" spans="8:8" x14ac:dyDescent="0.25">
      <c r="H2144" s="1"/>
    </row>
    <row r="2145" spans="8:8" x14ac:dyDescent="0.25">
      <c r="H2145" s="1"/>
    </row>
    <row r="2146" spans="8:8" x14ac:dyDescent="0.25">
      <c r="H2146" s="1"/>
    </row>
    <row r="2147" spans="8:8" x14ac:dyDescent="0.25">
      <c r="H2147" s="1"/>
    </row>
    <row r="2148" spans="8:8" x14ac:dyDescent="0.25">
      <c r="H2148" s="1"/>
    </row>
    <row r="2149" spans="8:8" x14ac:dyDescent="0.25">
      <c r="H2149" s="1"/>
    </row>
    <row r="2150" spans="8:8" x14ac:dyDescent="0.25">
      <c r="H2150" s="1"/>
    </row>
    <row r="2151" spans="8:8" x14ac:dyDescent="0.25">
      <c r="H2151" s="1"/>
    </row>
    <row r="2152" spans="8:8" x14ac:dyDescent="0.25">
      <c r="H2152" s="1"/>
    </row>
    <row r="2153" spans="8:8" x14ac:dyDescent="0.25">
      <c r="H2153" s="1"/>
    </row>
    <row r="2154" spans="8:8" x14ac:dyDescent="0.25">
      <c r="H2154" s="1"/>
    </row>
    <row r="2155" spans="8:8" x14ac:dyDescent="0.25">
      <c r="H2155" s="1"/>
    </row>
    <row r="2156" spans="8:8" x14ac:dyDescent="0.25">
      <c r="H2156" s="1"/>
    </row>
    <row r="2157" spans="8:8" x14ac:dyDescent="0.25">
      <c r="H2157" s="1"/>
    </row>
    <row r="2158" spans="8:8" x14ac:dyDescent="0.25">
      <c r="H2158" s="1"/>
    </row>
    <row r="2159" spans="8:8" x14ac:dyDescent="0.25">
      <c r="H2159" s="1"/>
    </row>
    <row r="2160" spans="8:8" x14ac:dyDescent="0.25">
      <c r="H2160" s="1"/>
    </row>
    <row r="2161" spans="8:8" x14ac:dyDescent="0.25">
      <c r="H2161" s="1"/>
    </row>
    <row r="2162" spans="8:8" x14ac:dyDescent="0.25">
      <c r="H2162" s="1"/>
    </row>
    <row r="2163" spans="8:8" x14ac:dyDescent="0.25">
      <c r="H2163" s="1"/>
    </row>
    <row r="2164" spans="8:8" x14ac:dyDescent="0.25">
      <c r="H2164" s="1"/>
    </row>
    <row r="2165" spans="8:8" x14ac:dyDescent="0.25">
      <c r="H2165" s="1"/>
    </row>
    <row r="2166" spans="8:8" x14ac:dyDescent="0.25">
      <c r="H2166" s="1"/>
    </row>
    <row r="2167" spans="8:8" x14ac:dyDescent="0.25">
      <c r="H2167" s="1"/>
    </row>
    <row r="2168" spans="8:8" x14ac:dyDescent="0.25">
      <c r="H2168" s="1"/>
    </row>
    <row r="2169" spans="8:8" x14ac:dyDescent="0.25">
      <c r="H2169" s="1"/>
    </row>
    <row r="2170" spans="8:8" x14ac:dyDescent="0.25">
      <c r="H2170" s="1"/>
    </row>
    <row r="2171" spans="8:8" x14ac:dyDescent="0.25">
      <c r="H2171" s="1"/>
    </row>
    <row r="2172" spans="8:8" x14ac:dyDescent="0.25">
      <c r="H2172" s="1"/>
    </row>
    <row r="2173" spans="8:8" x14ac:dyDescent="0.25">
      <c r="H2173" s="1"/>
    </row>
    <row r="2174" spans="8:8" x14ac:dyDescent="0.25">
      <c r="H2174" s="1"/>
    </row>
    <row r="2175" spans="8:8" x14ac:dyDescent="0.25">
      <c r="H2175" s="1"/>
    </row>
    <row r="2176" spans="8:8" x14ac:dyDescent="0.25">
      <c r="H2176" s="1"/>
    </row>
    <row r="2177" spans="8:8" x14ac:dyDescent="0.25">
      <c r="H2177" s="1"/>
    </row>
    <row r="2178" spans="8:8" x14ac:dyDescent="0.25">
      <c r="H2178" s="1"/>
    </row>
    <row r="2179" spans="8:8" x14ac:dyDescent="0.25">
      <c r="H2179" s="1"/>
    </row>
    <row r="2180" spans="8:8" x14ac:dyDescent="0.25">
      <c r="H2180" s="1"/>
    </row>
    <row r="2181" spans="8:8" x14ac:dyDescent="0.25">
      <c r="H2181" s="1"/>
    </row>
    <row r="2182" spans="8:8" x14ac:dyDescent="0.25">
      <c r="H2182" s="1"/>
    </row>
    <row r="2183" spans="8:8" x14ac:dyDescent="0.25">
      <c r="H2183" s="1"/>
    </row>
    <row r="2184" spans="8:8" x14ac:dyDescent="0.25">
      <c r="H2184" s="1"/>
    </row>
    <row r="2185" spans="8:8" x14ac:dyDescent="0.25">
      <c r="H2185" s="1"/>
    </row>
    <row r="2186" spans="8:8" x14ac:dyDescent="0.25">
      <c r="H2186" s="1"/>
    </row>
    <row r="2187" spans="8:8" x14ac:dyDescent="0.25">
      <c r="H2187" s="1"/>
    </row>
    <row r="2188" spans="8:8" x14ac:dyDescent="0.25">
      <c r="H2188" s="1"/>
    </row>
    <row r="2189" spans="8:8" x14ac:dyDescent="0.25">
      <c r="H2189" s="1"/>
    </row>
    <row r="2190" spans="8:8" x14ac:dyDescent="0.25">
      <c r="H2190" s="1"/>
    </row>
    <row r="2191" spans="8:8" x14ac:dyDescent="0.25">
      <c r="H2191" s="1"/>
    </row>
    <row r="2192" spans="8:8" x14ac:dyDescent="0.25">
      <c r="H2192" s="1"/>
    </row>
    <row r="2193" spans="8:8" x14ac:dyDescent="0.25">
      <c r="H2193" s="1"/>
    </row>
    <row r="2194" spans="8:8" x14ac:dyDescent="0.25">
      <c r="H2194" s="1"/>
    </row>
    <row r="2195" spans="8:8" x14ac:dyDescent="0.25">
      <c r="H2195" s="1"/>
    </row>
    <row r="2196" spans="8:8" x14ac:dyDescent="0.25">
      <c r="H2196" s="1"/>
    </row>
    <row r="2197" spans="8:8" x14ac:dyDescent="0.25">
      <c r="H2197" s="1"/>
    </row>
    <row r="2198" spans="8:8" x14ac:dyDescent="0.25">
      <c r="H2198" s="1"/>
    </row>
    <row r="2199" spans="8:8" x14ac:dyDescent="0.25">
      <c r="H2199" s="1"/>
    </row>
    <row r="2200" spans="8:8" x14ac:dyDescent="0.25">
      <c r="H2200" s="1"/>
    </row>
    <row r="2201" spans="8:8" x14ac:dyDescent="0.25">
      <c r="H2201" s="1"/>
    </row>
    <row r="2202" spans="8:8" x14ac:dyDescent="0.25">
      <c r="H2202" s="1"/>
    </row>
    <row r="2203" spans="8:8" x14ac:dyDescent="0.25">
      <c r="H2203" s="1"/>
    </row>
    <row r="2204" spans="8:8" x14ac:dyDescent="0.25">
      <c r="H2204" s="1"/>
    </row>
    <row r="2205" spans="8:8" x14ac:dyDescent="0.25">
      <c r="H2205" s="1"/>
    </row>
    <row r="2206" spans="8:8" x14ac:dyDescent="0.25">
      <c r="H2206" s="1"/>
    </row>
    <row r="2207" spans="8:8" x14ac:dyDescent="0.25">
      <c r="H2207" s="1"/>
    </row>
    <row r="2208" spans="8:8" x14ac:dyDescent="0.25">
      <c r="H2208" s="1"/>
    </row>
    <row r="2209" spans="8:8" x14ac:dyDescent="0.25">
      <c r="H2209" s="1"/>
    </row>
    <row r="2210" spans="8:8" x14ac:dyDescent="0.25">
      <c r="H2210" s="1"/>
    </row>
    <row r="2211" spans="8:8" x14ac:dyDescent="0.25">
      <c r="H2211" s="1"/>
    </row>
    <row r="2212" spans="8:8" x14ac:dyDescent="0.25">
      <c r="H2212" s="1"/>
    </row>
    <row r="2213" spans="8:8" x14ac:dyDescent="0.25">
      <c r="H2213" s="1"/>
    </row>
    <row r="2214" spans="8:8" x14ac:dyDescent="0.25">
      <c r="H2214" s="1"/>
    </row>
    <row r="2215" spans="8:8" x14ac:dyDescent="0.25">
      <c r="H2215" s="1"/>
    </row>
    <row r="2216" spans="8:8" x14ac:dyDescent="0.25">
      <c r="H2216" s="1"/>
    </row>
    <row r="2217" spans="8:8" x14ac:dyDescent="0.25">
      <c r="H2217" s="1"/>
    </row>
    <row r="2218" spans="8:8" x14ac:dyDescent="0.25">
      <c r="H2218" s="1"/>
    </row>
    <row r="2219" spans="8:8" x14ac:dyDescent="0.25">
      <c r="H2219" s="1"/>
    </row>
    <row r="2220" spans="8:8" x14ac:dyDescent="0.25">
      <c r="H2220" s="1"/>
    </row>
    <row r="2221" spans="8:8" x14ac:dyDescent="0.25">
      <c r="H2221" s="1"/>
    </row>
    <row r="2222" spans="8:8" x14ac:dyDescent="0.25">
      <c r="H2222" s="1"/>
    </row>
    <row r="2223" spans="8:8" x14ac:dyDescent="0.25">
      <c r="H2223" s="1"/>
    </row>
    <row r="2224" spans="8:8" x14ac:dyDescent="0.25">
      <c r="H2224" s="1"/>
    </row>
    <row r="2225" spans="8:8" x14ac:dyDescent="0.25">
      <c r="H2225" s="1"/>
    </row>
    <row r="2226" spans="8:8" x14ac:dyDescent="0.25">
      <c r="H2226" s="1"/>
    </row>
    <row r="2227" spans="8:8" x14ac:dyDescent="0.25">
      <c r="H2227" s="1"/>
    </row>
    <row r="2228" spans="8:8" x14ac:dyDescent="0.25">
      <c r="H2228" s="1"/>
    </row>
    <row r="2229" spans="8:8" x14ac:dyDescent="0.25">
      <c r="H2229" s="1"/>
    </row>
    <row r="2230" spans="8:8" x14ac:dyDescent="0.25">
      <c r="H2230" s="1"/>
    </row>
    <row r="2231" spans="8:8" x14ac:dyDescent="0.25">
      <c r="H2231" s="1"/>
    </row>
    <row r="2232" spans="8:8" x14ac:dyDescent="0.25">
      <c r="H2232" s="1"/>
    </row>
    <row r="2233" spans="8:8" x14ac:dyDescent="0.25">
      <c r="H2233" s="1"/>
    </row>
    <row r="2234" spans="8:8" x14ac:dyDescent="0.25">
      <c r="H2234" s="1"/>
    </row>
    <row r="2235" spans="8:8" x14ac:dyDescent="0.25">
      <c r="H2235" s="1"/>
    </row>
    <row r="2236" spans="8:8" x14ac:dyDescent="0.25">
      <c r="H2236" s="1"/>
    </row>
    <row r="2237" spans="8:8" x14ac:dyDescent="0.25">
      <c r="H2237" s="1"/>
    </row>
    <row r="2238" spans="8:8" x14ac:dyDescent="0.25">
      <c r="H2238" s="1"/>
    </row>
    <row r="2239" spans="8:8" x14ac:dyDescent="0.25">
      <c r="H2239" s="1"/>
    </row>
    <row r="2240" spans="8:8" x14ac:dyDescent="0.25">
      <c r="H2240" s="1"/>
    </row>
    <row r="2241" spans="8:8" x14ac:dyDescent="0.25">
      <c r="H2241" s="1"/>
    </row>
    <row r="2242" spans="8:8" x14ac:dyDescent="0.25">
      <c r="H2242" s="1"/>
    </row>
    <row r="2243" spans="8:8" x14ac:dyDescent="0.25">
      <c r="H2243" s="1"/>
    </row>
    <row r="2244" spans="8:8" x14ac:dyDescent="0.25">
      <c r="H2244" s="1"/>
    </row>
    <row r="2245" spans="8:8" x14ac:dyDescent="0.25">
      <c r="H2245" s="1"/>
    </row>
    <row r="2246" spans="8:8" x14ac:dyDescent="0.25">
      <c r="H2246" s="1"/>
    </row>
    <row r="2247" spans="8:8" x14ac:dyDescent="0.25">
      <c r="H2247" s="1"/>
    </row>
    <row r="2248" spans="8:8" x14ac:dyDescent="0.25">
      <c r="H2248" s="1"/>
    </row>
    <row r="2249" spans="8:8" x14ac:dyDescent="0.25">
      <c r="H2249" s="1"/>
    </row>
    <row r="2250" spans="8:8" x14ac:dyDescent="0.25">
      <c r="H2250" s="1"/>
    </row>
    <row r="2251" spans="8:8" x14ac:dyDescent="0.25">
      <c r="H2251" s="1"/>
    </row>
    <row r="2252" spans="8:8" x14ac:dyDescent="0.25">
      <c r="H2252" s="1"/>
    </row>
    <row r="2253" spans="8:8" x14ac:dyDescent="0.25">
      <c r="H2253" s="1"/>
    </row>
    <row r="2254" spans="8:8" x14ac:dyDescent="0.25">
      <c r="H2254" s="1"/>
    </row>
    <row r="2255" spans="8:8" x14ac:dyDescent="0.25">
      <c r="H2255" s="1"/>
    </row>
    <row r="2256" spans="8:8" x14ac:dyDescent="0.25">
      <c r="H2256" s="1"/>
    </row>
    <row r="2257" spans="8:8" x14ac:dyDescent="0.25">
      <c r="H2257" s="1"/>
    </row>
    <row r="2258" spans="8:8" x14ac:dyDescent="0.25">
      <c r="H2258" s="1"/>
    </row>
    <row r="2259" spans="8:8" x14ac:dyDescent="0.25">
      <c r="H2259" s="1"/>
    </row>
    <row r="2260" spans="8:8" x14ac:dyDescent="0.25">
      <c r="H2260" s="1"/>
    </row>
    <row r="2261" spans="8:8" x14ac:dyDescent="0.25">
      <c r="H2261" s="1"/>
    </row>
    <row r="2262" spans="8:8" x14ac:dyDescent="0.25">
      <c r="H2262" s="1"/>
    </row>
    <row r="2263" spans="8:8" x14ac:dyDescent="0.25">
      <c r="H2263" s="1"/>
    </row>
    <row r="2264" spans="8:8" x14ac:dyDescent="0.25">
      <c r="H2264" s="1"/>
    </row>
    <row r="2265" spans="8:8" x14ac:dyDescent="0.25">
      <c r="H2265" s="1"/>
    </row>
    <row r="2266" spans="8:8" x14ac:dyDescent="0.25">
      <c r="H2266" s="1"/>
    </row>
    <row r="2267" spans="8:8" x14ac:dyDescent="0.25">
      <c r="H2267" s="1"/>
    </row>
    <row r="2268" spans="8:8" x14ac:dyDescent="0.25">
      <c r="H2268" s="1"/>
    </row>
    <row r="2269" spans="8:8" x14ac:dyDescent="0.25">
      <c r="H2269" s="1"/>
    </row>
    <row r="2270" spans="8:8" x14ac:dyDescent="0.25">
      <c r="H2270" s="1"/>
    </row>
    <row r="2271" spans="8:8" x14ac:dyDescent="0.25">
      <c r="H2271" s="1"/>
    </row>
    <row r="2272" spans="8:8" x14ac:dyDescent="0.25">
      <c r="H2272" s="1"/>
    </row>
    <row r="2273" spans="8:8" x14ac:dyDescent="0.25">
      <c r="H2273" s="1"/>
    </row>
    <row r="2274" spans="8:8" x14ac:dyDescent="0.25">
      <c r="H2274" s="1"/>
    </row>
    <row r="2275" spans="8:8" x14ac:dyDescent="0.25">
      <c r="H2275" s="1"/>
    </row>
    <row r="2276" spans="8:8" x14ac:dyDescent="0.25">
      <c r="H2276" s="1"/>
    </row>
    <row r="2277" spans="8:8" x14ac:dyDescent="0.25">
      <c r="H2277" s="1"/>
    </row>
    <row r="2278" spans="8:8" x14ac:dyDescent="0.25">
      <c r="H2278" s="1"/>
    </row>
    <row r="2279" spans="8:8" x14ac:dyDescent="0.25">
      <c r="H2279" s="1"/>
    </row>
    <row r="2280" spans="8:8" x14ac:dyDescent="0.25">
      <c r="H2280" s="1"/>
    </row>
    <row r="2281" spans="8:8" x14ac:dyDescent="0.25">
      <c r="H2281" s="1"/>
    </row>
    <row r="2282" spans="8:8" x14ac:dyDescent="0.25">
      <c r="H2282" s="1"/>
    </row>
    <row r="2283" spans="8:8" x14ac:dyDescent="0.25">
      <c r="H2283" s="1"/>
    </row>
    <row r="2284" spans="8:8" x14ac:dyDescent="0.25">
      <c r="H2284" s="1"/>
    </row>
    <row r="2285" spans="8:8" x14ac:dyDescent="0.25">
      <c r="H2285" s="1"/>
    </row>
    <row r="2286" spans="8:8" x14ac:dyDescent="0.25">
      <c r="H2286" s="1"/>
    </row>
    <row r="2287" spans="8:8" x14ac:dyDescent="0.25">
      <c r="H2287" s="1"/>
    </row>
    <row r="2288" spans="8:8" x14ac:dyDescent="0.25">
      <c r="H2288" s="1"/>
    </row>
    <row r="2289" spans="8:8" x14ac:dyDescent="0.25">
      <c r="H2289" s="1"/>
    </row>
    <row r="2290" spans="8:8" x14ac:dyDescent="0.25">
      <c r="H2290" s="1"/>
    </row>
    <row r="2291" spans="8:8" x14ac:dyDescent="0.25">
      <c r="H2291" s="1"/>
    </row>
    <row r="2292" spans="8:8" x14ac:dyDescent="0.25">
      <c r="H2292" s="1"/>
    </row>
    <row r="2293" spans="8:8" x14ac:dyDescent="0.25">
      <c r="H2293" s="1"/>
    </row>
    <row r="2294" spans="8:8" x14ac:dyDescent="0.25">
      <c r="H2294" s="1"/>
    </row>
    <row r="2295" spans="8:8" x14ac:dyDescent="0.25">
      <c r="H2295" s="1"/>
    </row>
    <row r="2296" spans="8:8" x14ac:dyDescent="0.25">
      <c r="H2296" s="1"/>
    </row>
    <row r="2297" spans="8:8" x14ac:dyDescent="0.25">
      <c r="H2297" s="1"/>
    </row>
    <row r="2298" spans="8:8" x14ac:dyDescent="0.25">
      <c r="H2298" s="1"/>
    </row>
    <row r="2299" spans="8:8" x14ac:dyDescent="0.25">
      <c r="H2299" s="1"/>
    </row>
    <row r="2300" spans="8:8" x14ac:dyDescent="0.25">
      <c r="H2300" s="1"/>
    </row>
    <row r="2301" spans="8:8" x14ac:dyDescent="0.25">
      <c r="H2301" s="1"/>
    </row>
    <row r="2302" spans="8:8" x14ac:dyDescent="0.25">
      <c r="H2302" s="1"/>
    </row>
    <row r="2303" spans="8:8" x14ac:dyDescent="0.25">
      <c r="H2303" s="1"/>
    </row>
    <row r="2304" spans="8:8" x14ac:dyDescent="0.25">
      <c r="H2304" s="1"/>
    </row>
    <row r="2305" spans="8:8" x14ac:dyDescent="0.25">
      <c r="H2305" s="1"/>
    </row>
    <row r="2306" spans="8:8" x14ac:dyDescent="0.25">
      <c r="H2306" s="1"/>
    </row>
    <row r="2307" spans="8:8" x14ac:dyDescent="0.25">
      <c r="H2307" s="1"/>
    </row>
    <row r="2308" spans="8:8" x14ac:dyDescent="0.25">
      <c r="H2308" s="1"/>
    </row>
    <row r="2309" spans="8:8" x14ac:dyDescent="0.25">
      <c r="H2309" s="1"/>
    </row>
    <row r="2310" spans="8:8" x14ac:dyDescent="0.25">
      <c r="H2310" s="1"/>
    </row>
    <row r="2311" spans="8:8" x14ac:dyDescent="0.25">
      <c r="H2311" s="1"/>
    </row>
    <row r="2312" spans="8:8" x14ac:dyDescent="0.25">
      <c r="H2312" s="1"/>
    </row>
    <row r="2313" spans="8:8" x14ac:dyDescent="0.25">
      <c r="H2313" s="1"/>
    </row>
    <row r="2314" spans="8:8" x14ac:dyDescent="0.25">
      <c r="H2314" s="1"/>
    </row>
    <row r="2315" spans="8:8" x14ac:dyDescent="0.25">
      <c r="H2315" s="1"/>
    </row>
    <row r="2316" spans="8:8" x14ac:dyDescent="0.25">
      <c r="H2316" s="1"/>
    </row>
    <row r="2317" spans="8:8" x14ac:dyDescent="0.25">
      <c r="H2317" s="1"/>
    </row>
    <row r="2318" spans="8:8" x14ac:dyDescent="0.25">
      <c r="H2318" s="1"/>
    </row>
    <row r="2319" spans="8:8" x14ac:dyDescent="0.25">
      <c r="H2319" s="1"/>
    </row>
    <row r="2320" spans="8:8" x14ac:dyDescent="0.25">
      <c r="H2320" s="1"/>
    </row>
    <row r="2321" spans="8:8" x14ac:dyDescent="0.25">
      <c r="H2321" s="1"/>
    </row>
    <row r="2322" spans="8:8" x14ac:dyDescent="0.25">
      <c r="H2322" s="1"/>
    </row>
    <row r="2323" spans="8:8" x14ac:dyDescent="0.25">
      <c r="H2323" s="1"/>
    </row>
    <row r="2324" spans="8:8" x14ac:dyDescent="0.25">
      <c r="H2324" s="1"/>
    </row>
    <row r="2325" spans="8:8" x14ac:dyDescent="0.25">
      <c r="H2325" s="1"/>
    </row>
    <row r="2326" spans="8:8" x14ac:dyDescent="0.25">
      <c r="H2326" s="1"/>
    </row>
    <row r="2327" spans="8:8" x14ac:dyDescent="0.25">
      <c r="H2327" s="1"/>
    </row>
    <row r="2328" spans="8:8" x14ac:dyDescent="0.25">
      <c r="H2328" s="1"/>
    </row>
    <row r="2329" spans="8:8" x14ac:dyDescent="0.25">
      <c r="H2329" s="1"/>
    </row>
    <row r="2330" spans="8:8" x14ac:dyDescent="0.25">
      <c r="H2330" s="1"/>
    </row>
    <row r="2331" spans="8:8" x14ac:dyDescent="0.25">
      <c r="H2331" s="1"/>
    </row>
    <row r="2332" spans="8:8" x14ac:dyDescent="0.25">
      <c r="H2332" s="1"/>
    </row>
    <row r="2333" spans="8:8" x14ac:dyDescent="0.25">
      <c r="H2333" s="1"/>
    </row>
    <row r="2334" spans="8:8" x14ac:dyDescent="0.25">
      <c r="H2334" s="1"/>
    </row>
    <row r="2335" spans="8:8" x14ac:dyDescent="0.25">
      <c r="H2335" s="1"/>
    </row>
    <row r="2336" spans="8:8" x14ac:dyDescent="0.25">
      <c r="H2336" s="1"/>
    </row>
    <row r="2337" spans="8:8" x14ac:dyDescent="0.25">
      <c r="H2337" s="1"/>
    </row>
    <row r="2338" spans="8:8" x14ac:dyDescent="0.25">
      <c r="H2338" s="1"/>
    </row>
    <row r="2339" spans="8:8" x14ac:dyDescent="0.25">
      <c r="H2339" s="1"/>
    </row>
    <row r="2340" spans="8:8" x14ac:dyDescent="0.25">
      <c r="H2340" s="1"/>
    </row>
    <row r="2341" spans="8:8" x14ac:dyDescent="0.25">
      <c r="H2341" s="1"/>
    </row>
    <row r="2342" spans="8:8" x14ac:dyDescent="0.25">
      <c r="H2342" s="1"/>
    </row>
    <row r="2343" spans="8:8" x14ac:dyDescent="0.25">
      <c r="H2343" s="1"/>
    </row>
    <row r="2344" spans="8:8" x14ac:dyDescent="0.25">
      <c r="H2344" s="1"/>
    </row>
    <row r="2345" spans="8:8" x14ac:dyDescent="0.25">
      <c r="H2345" s="1"/>
    </row>
    <row r="2346" spans="8:8" x14ac:dyDescent="0.25">
      <c r="H2346" s="1"/>
    </row>
    <row r="2347" spans="8:8" x14ac:dyDescent="0.25">
      <c r="H2347" s="1"/>
    </row>
    <row r="2348" spans="8:8" x14ac:dyDescent="0.25">
      <c r="H2348" s="1"/>
    </row>
    <row r="2349" spans="8:8" x14ac:dyDescent="0.25">
      <c r="H2349" s="1"/>
    </row>
    <row r="2350" spans="8:8" x14ac:dyDescent="0.25">
      <c r="H2350" s="1"/>
    </row>
    <row r="2351" spans="8:8" x14ac:dyDescent="0.25">
      <c r="H2351" s="1"/>
    </row>
    <row r="2352" spans="8:8" x14ac:dyDescent="0.25">
      <c r="H2352" s="1"/>
    </row>
  </sheetData>
  <mergeCells count="3">
    <mergeCell ref="A1:G1"/>
    <mergeCell ref="A2:G2"/>
    <mergeCell ref="A4:F4"/>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napomene</vt:lpstr>
      <vt:lpstr>BICIKLISTIČKA STAZA</vt:lpstr>
      <vt:lpstr>PIKNIK PARK</vt:lpstr>
      <vt:lpstr>TERETANA</vt:lpstr>
      <vt:lpstr>Rekapitulacija</vt:lpstr>
      <vt:lpstr>'BICIKLISTIČKA STAZA'!Print_Area</vt:lpstr>
      <vt:lpstr>napomene!Print_Area</vt:lpstr>
      <vt:lpstr>'PIKNIK PARK'!Print_Area</vt:lpstr>
      <vt:lpstr>Rekapitulacija!Print_Area</vt:lpstr>
      <vt:lpstr>TERETANA!Print_Area</vt:lpstr>
      <vt:lpstr>'BICIKLISTIČKA STAZA'!Print_Titles</vt:lpstr>
      <vt:lpstr>'PIKNIK PARK'!Print_Titles</vt:lpstr>
      <vt:lpstr>TERETANA!Print_Titles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2021-11-08T16:50:39Z</cp:lastPrinted>
  <dcterms:created xsi:type="dcterms:W3CDTF">2018-12-04T10:23:53Z</dcterms:created>
  <dcterms:modified xsi:type="dcterms:W3CDTF">2021-11-11T10:21:20Z</dcterms:modified>
</cp:coreProperties>
</file>